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0"/>
  </bookViews>
  <sheets>
    <sheet name="2018" sheetId="1" r:id="rId1"/>
  </sheets>
  <definedNames>
    <definedName name="OLE_LINK1" localSheetId="0">'2018'!$B$1</definedName>
    <definedName name="OLE_LINK14" localSheetId="0">'2018'!$B$81</definedName>
    <definedName name="_xlnm.Print_Area" localSheetId="0">'2018'!$A:$M</definedName>
  </definedNames>
  <calcPr fullCalcOnLoad="1"/>
</workbook>
</file>

<file path=xl/sharedStrings.xml><?xml version="1.0" encoding="utf-8"?>
<sst xmlns="http://schemas.openxmlformats.org/spreadsheetml/2006/main" count="981" uniqueCount="316">
  <si>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</si>
  <si>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</si>
  <si>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</si>
  <si>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Администрация города Струнино Александровского райна </t>
  </si>
  <si>
    <t>01</t>
  </si>
  <si>
    <t>02</t>
  </si>
  <si>
    <t>99</t>
  </si>
  <si>
    <t>99 9 00 00110</t>
  </si>
  <si>
    <t>100</t>
  </si>
  <si>
    <t>03</t>
  </si>
  <si>
    <t>04</t>
  </si>
  <si>
    <t xml:space="preserve">99 </t>
  </si>
  <si>
    <t>99 9</t>
  </si>
  <si>
    <t>99 9 00 00190</t>
  </si>
  <si>
    <t>200</t>
  </si>
  <si>
    <t>800</t>
  </si>
  <si>
    <t>99 9 00 0Г110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</si>
  <si>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</si>
  <si>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</si>
  <si>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</si>
  <si>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</si>
  <si>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</si>
  <si>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</si>
  <si>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99 9 00 51180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</si>
  <si>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</si>
  <si>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</si>
  <si>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</si>
  <si>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</si>
  <si>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</si>
  <si>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</si>
  <si>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 xml:space="preserve">12 </t>
  </si>
  <si>
    <t>Жилищно-коммунальное хозяйство</t>
  </si>
  <si>
    <t>05</t>
  </si>
  <si>
    <t>Жилищное хозяйство</t>
  </si>
  <si>
    <t>600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</si>
  <si>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</si>
  <si>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</si>
  <si>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</si>
  <si>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</si>
  <si>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</si>
  <si>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</si>
  <si>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</si>
  <si>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</si>
  <si>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300</t>
  </si>
  <si>
    <t>Социальное обеспечение населения</t>
  </si>
  <si>
    <t>Обеспечение равной доступности услуг общественного транспорта  для отдельных категорий граждан в муниципальном сообщении в рамках непрограммных расходов (Социальное обеспечение и иные выплаты населению)</t>
  </si>
  <si>
    <t>500</t>
  </si>
  <si>
    <t>99 9 00 70150</t>
  </si>
  <si>
    <t>Физическая культура и спорт</t>
  </si>
  <si>
    <t>Физическая культура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</si>
  <si>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</si>
  <si>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</si>
  <si>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</si>
  <si>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</si>
  <si>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Непрограммные расходы</t>
  </si>
  <si>
    <t>999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</si>
  <si>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</si>
  <si>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 xml:space="preserve">Непрограммные расходы </t>
  </si>
  <si>
    <t>Код главного распорядителя средств районного бюджета</t>
  </si>
  <si>
    <t>Код раздела</t>
  </si>
  <si>
    <t>Код целевой статьи</t>
  </si>
  <si>
    <t>Резервный фонд администрации муниципального образования город Струнино (Иные бюджетные ассигнования)</t>
  </si>
  <si>
    <t xml:space="preserve">Непрограммные расходы  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</si>
  <si>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</si>
  <si>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</si>
  <si>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Основное мероприятие" Безопасность дорожного движения"</t>
  </si>
  <si>
    <t>Основное мероприятие" Проведение противопожарных мероприятий "</t>
  </si>
  <si>
    <t>Основное мероприятие "Оформление права собственности"</t>
  </si>
  <si>
    <t>Основное мероприятие "Оценка муниципального имущества"</t>
  </si>
  <si>
    <t>Основное мероприятие "Оценка земельных участков"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</si>
  <si>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</si>
  <si>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Основное мероприятие "Обеспечение жильем молодых семей"</t>
  </si>
  <si>
    <t>06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</si>
  <si>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</si>
  <si>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</si>
  <si>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</si>
  <si>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Другие вопросы в области физической культуры и спорта</t>
  </si>
  <si>
    <t xml:space="preserve">Основное мероприятие "Оплата за содержание нежилых помещений" </t>
  </si>
  <si>
    <t>Общеэкономические вопросы</t>
  </si>
  <si>
    <t>99 9 00 10050</t>
  </si>
  <si>
    <t>Основное мероприятие "Кадастровый учет и межевание выявленных участков""</t>
  </si>
  <si>
    <t>Основное мероприятие "Прочие мероприятия по благоустройству территории"</t>
  </si>
  <si>
    <t>Основное мероприятие "Уличное освещение"</t>
  </si>
  <si>
    <t>Основное мероприятие "Содержание сетей уличного освещения"</t>
  </si>
  <si>
    <t>99 9 00 10810</t>
  </si>
  <si>
    <t xml:space="preserve">18 </t>
  </si>
  <si>
    <t>Сумма на 2018 год</t>
  </si>
  <si>
    <t>Код подраздела</t>
  </si>
  <si>
    <t>Код вида расходов</t>
  </si>
  <si>
    <t>Основное мероприятие "Обращение с безнадзорными животными"</t>
  </si>
  <si>
    <t>400</t>
  </si>
  <si>
    <t>99 9 00 1Ф060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</si>
  <si>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</si>
  <si>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</si>
  <si>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</si>
  <si>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</t>
  </si>
  <si>
    <t>01 0 01 20020</t>
  </si>
  <si>
    <t>99 9 00 20010</t>
  </si>
  <si>
    <t>01 0 02</t>
  </si>
  <si>
    <t>01 0 02 20030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</si>
  <si>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</si>
  <si>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</si>
  <si>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</si>
  <si>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</si>
  <si>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02 0 02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</si>
  <si>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</si>
  <si>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</si>
  <si>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</si>
  <si>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02 0 03 20050</t>
  </si>
  <si>
    <t>03 0 01</t>
  </si>
  <si>
    <t>03 0 01 20020</t>
  </si>
  <si>
    <t>04 0 01</t>
  </si>
  <si>
    <t>04 0 01 20060</t>
  </si>
  <si>
    <t>05 0 01</t>
  </si>
  <si>
    <t>Основное мероприятие "Обеспечение безопасных условий жизнедеятельности на территории города Струнино"</t>
  </si>
  <si>
    <t>05 0 01 20020</t>
  </si>
  <si>
    <t xml:space="preserve">Иные непрограммные расходы </t>
  </si>
  <si>
    <t>99 9 00 20СП0</t>
  </si>
  <si>
    <t>06 0 01</t>
  </si>
  <si>
    <t>06 0 01 20070</t>
  </si>
  <si>
    <t>07</t>
  </si>
  <si>
    <t xml:space="preserve">06 </t>
  </si>
  <si>
    <t xml:space="preserve">05 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</si>
  <si>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</si>
  <si>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</si>
  <si>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07 0 01 20080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</si>
  <si>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</si>
  <si>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</si>
  <si>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</si>
  <si>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07 0 02 20090</t>
  </si>
  <si>
    <t>07 0 03</t>
  </si>
  <si>
    <t>07 0 03 20100</t>
  </si>
  <si>
    <t>08 0 01</t>
  </si>
  <si>
    <t>08 0 01 20020</t>
  </si>
  <si>
    <t>09 0 01</t>
  </si>
  <si>
    <t>09 0 01 20020</t>
  </si>
  <si>
    <t>10 0 01</t>
  </si>
  <si>
    <t>10 0 01 20020</t>
  </si>
  <si>
    <t>11 0 01</t>
  </si>
  <si>
    <t>11 0 01 20020</t>
  </si>
  <si>
    <t>Основное мероприятие "Выплаты по оплате труда работников учреждений"</t>
  </si>
  <si>
    <t>Основное мероприятие" Переселение граждан из аварийного жилищного фонда "</t>
  </si>
  <si>
    <t xml:space="preserve">12 0 01 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</si>
  <si>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</si>
  <si>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Основное мероприятие "Оплата взносов на  капитальный ремонт многоквартирных домов"</t>
  </si>
  <si>
    <t>13 0 01</t>
  </si>
  <si>
    <t>13 0 01 20110</t>
  </si>
  <si>
    <t>13 0 02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</si>
  <si>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</si>
  <si>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 xml:space="preserve">06 0 02 </t>
  </si>
  <si>
    <t>06 0 02 20120</t>
  </si>
  <si>
    <t>Основное мероприятие "Организация и содержание мест захоронений"</t>
  </si>
  <si>
    <t xml:space="preserve">06 0 03 </t>
  </si>
  <si>
    <t>06 0 03 20130</t>
  </si>
  <si>
    <t>06 0 04</t>
  </si>
  <si>
    <t>06 0 04 20131</t>
  </si>
  <si>
    <t>06 0 05</t>
  </si>
  <si>
    <t>06 0 05 20132</t>
  </si>
  <si>
    <t>Основное мероприятие " Благоустройство дворовых территорий"</t>
  </si>
  <si>
    <t>14 0 01</t>
  </si>
  <si>
    <t>14 0 01 20133</t>
  </si>
  <si>
    <t>Основное мероприятие " Благоустройство общественных территорий"</t>
  </si>
  <si>
    <t>14 0 02</t>
  </si>
  <si>
    <t>14 0 02 20134</t>
  </si>
  <si>
    <t>Иные непрограммные расходы</t>
  </si>
  <si>
    <t>99 9 00 20140</t>
  </si>
  <si>
    <t>06 0 06</t>
  </si>
  <si>
    <t>06 0 06 20150</t>
  </si>
  <si>
    <t>15</t>
  </si>
  <si>
    <t>Основное мероприятие "Проведение культурно-массовых мероприятий"</t>
  </si>
  <si>
    <t>15 0 01</t>
  </si>
  <si>
    <t>15 0 01 20160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</si>
  <si>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</si>
  <si>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</si>
  <si>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</si>
  <si>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16 0 01 20170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</si>
  <si>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</si>
  <si>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</si>
  <si>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</si>
  <si>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</si>
  <si>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</si>
  <si>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99 9 00 70390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</si>
  <si>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</si>
  <si>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Основное мероприятие "Доплата к пенсии за выслугу лет "</t>
  </si>
  <si>
    <t>01 0 03</t>
  </si>
  <si>
    <t>01 0 03 80010</t>
  </si>
  <si>
    <t>Доплата к пенсии за выслугу лет  (Социальное обеспечение и иные выплаты населению)</t>
  </si>
  <si>
    <t>17</t>
  </si>
  <si>
    <t>17 0 01</t>
  </si>
  <si>
    <t>Реализация мероприятий по обеспечению жильем молодых семей (Межбюджетные трансферты)</t>
  </si>
  <si>
    <t>17 0 01 10200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</si>
  <si>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</si>
  <si>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</si>
  <si>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99 9 00 80020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</si>
  <si>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</si>
  <si>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</si>
  <si>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Основное мероприятие "Развитие физической культуры"</t>
  </si>
  <si>
    <t>18 0 01</t>
  </si>
  <si>
    <t>18 0 01 20180</t>
  </si>
  <si>
    <r>
      <t>Расходы на оказание мер социальной поддержки гражданам при оплате жилищно-коммунальных услуг</t>
    </r>
    <r>
      <rPr>
        <sz val="12"/>
        <color indexed="8"/>
        <rFont val="Times New Roman"/>
        <family val="1"/>
      </rPr>
      <t xml:space="preserve"> (Социальное обеспечение и иные выплаты населению)</t>
    </r>
  </si>
  <si>
    <t>13 0 02 29601</t>
  </si>
  <si>
    <t>12 0 01 40010</t>
  </si>
  <si>
    <t>Реализация мероприятий по обеспечению жильем многодетных семей (Межбюджетные трансферты)</t>
  </si>
  <si>
    <t>99 9 00 60390</t>
  </si>
  <si>
    <t>Расходы на обеспечение деятельности муниципальных учреждений (Иные бюджетные ассигнования)</t>
  </si>
  <si>
    <t>Основное мероприятие "Хозяйственно-техническое обеспечение деятельности муниципальных учреждений"</t>
  </si>
  <si>
    <t>Основное мероприятие "Повышение квалификации и профессиональная переподготовка муниципальных служащих"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</si>
  <si>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(Межбюджетные трансферты)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</si>
  <si>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</si>
  <si>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Осуществление дорожной деятельности по ремонту автомобильных дорог общего пользования местного значения (Закупка товаров, работ и услуг для государственных (муниципальных) нужд)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</si>
  <si>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</si>
  <si>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Развитие и модернизация материально-технической базы учреждений культуры (Предоставление субсидий бюджетным, автономным учреждениям и иным некоммерческим организациям)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</si>
  <si>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</si>
  <si>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</si>
  <si>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Проведение мероприятий (Иные бюджетные ассигнования)</t>
  </si>
  <si>
    <t>Мероприятия для улучшения технического состояния объектов теплоснабжения (Бюджетные инвестиции в объекты капитального строительства государственной (муниципальной) собственности)</t>
  </si>
  <si>
    <t>99 9 00 20200</t>
  </si>
  <si>
    <t>0</t>
  </si>
  <si>
    <t>Основное мероприятие " Формирование современной городской среды"</t>
  </si>
  <si>
    <t>14 0 03</t>
  </si>
  <si>
    <t>Расходы на формирование современной городской среды за счет средств субсидии на поддержку государственных программ субъектов РФ и муниципальных программ (Прочая закупка товаров, работ и услуг)</t>
  </si>
  <si>
    <t>14 0 03 R5550</t>
  </si>
  <si>
    <t>Расходы на формирование современной городской среды за счет средств местного бюджета (Прочая закупка товаров, работ и услуг)</t>
  </si>
  <si>
    <t xml:space="preserve">14 0 03 20135 </t>
  </si>
  <si>
    <r>
      <t xml:space="preserve">Расходы на оказание мер социальной поддержки гражданам </t>
    </r>
    <r>
      <rPr>
        <sz val="12"/>
        <color indexed="8"/>
        <rFont val="Times New Roman"/>
        <family val="1"/>
      </rPr>
      <t xml:space="preserve"> (Социальное обеспечение и иные выплаты населению)</t>
    </r>
  </si>
  <si>
    <t>07 0 01 72460</t>
  </si>
  <si>
    <t>Осуществление дорожной деятельности по ремонту автомобильных дорог общего пользования местного значения (Иные бюджетные ассигнования)</t>
  </si>
  <si>
    <t>12 0 01 49602</t>
  </si>
  <si>
    <t>12 0 01 79602</t>
  </si>
  <si>
    <t>17 0 01 14970</t>
  </si>
  <si>
    <r>
      <t xml:space="preserve">СНД №17 апрель    </t>
    </r>
    <r>
      <rPr>
        <b/>
        <sz val="12"/>
        <color indexed="10"/>
        <rFont val="Times New Roman"/>
        <family val="1"/>
      </rPr>
      <t>95 125,14292</t>
    </r>
  </si>
  <si>
    <r>
      <t xml:space="preserve">СНД №12 февраль                                       </t>
    </r>
    <r>
      <rPr>
        <b/>
        <sz val="12"/>
        <color indexed="10"/>
        <rFont val="Times New Roman"/>
        <family val="1"/>
      </rPr>
      <t>74 577,1436</t>
    </r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</si>
  <si>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</si>
  <si>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99 9 01 70050</t>
  </si>
  <si>
    <t>244</t>
  </si>
  <si>
    <t>Переселение граждан из аварийного жилищного фонда (Иные бюджетные ассигнования)</t>
  </si>
  <si>
    <t>99 9 00 20300</t>
  </si>
  <si>
    <t>Расходы на оплату судебных решений (Иные бюджетные ассигнования)</t>
  </si>
  <si>
    <t>9 99</t>
  </si>
  <si>
    <t>9 99 00 00190</t>
  </si>
  <si>
    <t>Переселение граждан из аварийного жилищного фонда (Социальное обеспечение и иные выплаты населению)</t>
  </si>
  <si>
    <t>Субсидии на обеспечение софинансированием участия в реализации мероприятий по переселению граждан из аварийного жилищного фонда (Социальное обеспечение и иные выплаты населению)</t>
  </si>
  <si>
    <r>
      <t xml:space="preserve">СНД №   июль </t>
    </r>
    <r>
      <rPr>
        <b/>
        <sz val="12"/>
        <color indexed="10"/>
        <rFont val="Times New Roman"/>
        <family val="1"/>
      </rPr>
      <t>122424,03253</t>
    </r>
  </si>
  <si>
    <r>
      <t xml:space="preserve">СНД №   август 
</t>
    </r>
    <r>
      <rPr>
        <b/>
        <sz val="12"/>
        <color indexed="10"/>
        <rFont val="Times New Roman"/>
        <family val="1"/>
      </rPr>
      <t>130424,03253</t>
    </r>
  </si>
  <si>
    <t>13 0 01 49602</t>
  </si>
  <si>
    <t>13 0 01 79602</t>
  </si>
  <si>
    <t>Переселение граждан из аварийного жилищного фонда (Иные межбюджетные расходы)</t>
  </si>
  <si>
    <t>Субсидии на обеспечение софинансированием участия в реализации мероприятий по переселению граждан из аварийного жилищного фонда (Иные межбюджетные расходы)</t>
  </si>
  <si>
    <t>Коммунальное хозяйство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</si>
  <si>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гос.корп.-Фонда содействия реформированию ЖКХ</t>
  </si>
  <si>
    <r>
      <t xml:space="preserve">СНД №   ноябрь
</t>
    </r>
    <r>
      <rPr>
        <b/>
        <sz val="12"/>
        <color indexed="10"/>
        <rFont val="Times New Roman"/>
        <family val="1"/>
      </rPr>
      <t>132200,55110</t>
    </r>
  </si>
  <si>
    <t>Основное мероприятие: «Проведение культурно-массовых мероприятий»</t>
  </si>
  <si>
    <t>Проведение культурно-массовых мероприятий (Прочая закупка товаров, работ и услуг)</t>
  </si>
  <si>
    <t>Мероприятия по оказанию юридических услуг (Прочая закупка товаров, работ и услуг)</t>
  </si>
  <si>
    <t>Проведение мероприятий (Прочая закупка товаров, работ и услуг)</t>
  </si>
  <si>
    <t>9 99 00 20300</t>
  </si>
  <si>
    <t>14 0 03 L5550</t>
  </si>
  <si>
    <t>Внесение изменений в ведомственную структуру расходов бюджета города Струнино на 2018 год</t>
  </si>
  <si>
    <t>Расходы на обеспечение деятельности функций органов власти (Прочая закупка товаров, работ и услуг)</t>
  </si>
  <si>
    <t>Муниципальная программа "Развитие муниципальной службы в муниципальном образовании город Струнино"</t>
  </si>
  <si>
    <t>Хозяйственно-техническое обеспечение деятельности муниципальных учреждений (Прочая закупка товаров, работ и услуг)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</si>
  <si>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</si>
  <si>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Расходы на осуществление деятельности первичного воинского учета на территориях, где отсутствуют военные комиссариаты (Прочая закупка товаров, работ и услуг)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</si>
  <si>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</si>
  <si>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Проведение противопожарных мероприятий (Прочая закупка товаров, работ и услуг)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</si>
  <si>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</si>
  <si>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 "</t>
  </si>
  <si>
    <t>Проведение мероприятий по обращению с безнадзорными животными (Прочая закупка товаров, работ и услуг)</t>
  </si>
  <si>
    <t>Муниципальная программа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Струнино»</t>
  </si>
  <si>
    <t>Муниципальная программа "Комплексное развитие транспортной инфраструктуры муниципального образования город Струнино"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</si>
  <si>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</si>
  <si>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Осуществление дорожной деятельности по ремонту автомобильных дорог общего пользования местного значения софинансирование (Прочая закупка товаров, работ и услуг)</t>
  </si>
  <si>
    <t>Осуществление дорожной деятельности по содержанию автомобильных дорог общего пользования местного значения (Прочая закупка товаров, работ и услуг)</t>
  </si>
  <si>
    <t>Проведение мероприятий  по повышению безопасности дорожного движения" (Прочая закупка товаров, работ и услуг)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</si>
  <si>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(Прочая закупка товаров, работ и услуг)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</si>
  <si>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</si>
  <si>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Проведение мероприятий  (Прочая закупка товаров, работ и услуг)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</si>
  <si>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 "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</si>
  <si>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</si>
  <si>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Муниципальная программа "Переселение граждан из аварийного жилищного фонда в муниципальном образовании город Струнино"</t>
  </si>
  <si>
    <t xml:space="preserve">Муниципальная программа  "Капитальный ремонт многоквартирных домов" </t>
  </si>
  <si>
    <t>Оплата взносов на  капитальный ремонт многоквартирных домов (Прочая закупка товаров, работ и услуг)</t>
  </si>
  <si>
    <t>Мероприятия для улучшения технического состояния объектов теплоснабжения (Прочая закупка товаров, работ и услуг)</t>
  </si>
  <si>
    <t>Субсидии на обеспечение софинансированием участия в реализации мероприятий по переселению граждан из аварийного жилищного фонда (Капитальные вложения в объекты государственной (муниципальной) собственности)</t>
  </si>
  <si>
    <t>Мероприятия для улучшения технического состояния объектов теплоснабжения (Капитальные вложения в объекты государственной (муниципальной) собственности)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</si>
  <si>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</si>
  <si>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Уличное освещение (Прочая закупка товаров, работ и услуг)</t>
  </si>
  <si>
    <t>Прочие мероприятия по благоустройству (Прочая закупка товаров, работ и услуг)</t>
  </si>
  <si>
    <t>Содержание сетей уличного освещения (Прочая закупка товаров, работ и услуг)</t>
  </si>
  <si>
    <t>Муниципальная программа "Формирование комфортной городской среды муниципального образования город Струнино"</t>
  </si>
  <si>
    <t>Благоустройство дворовых территорий  (Прочая закупка товаров, работ и услуг)</t>
  </si>
  <si>
    <t>Благоустройство общественных территорий (Прочая закупка товаров, работ и услуг)</t>
  </si>
  <si>
    <t>Проведение мероприятий по оплате энергосервисного контракта (Прочая закупка товаров, работ и услуг)</t>
  </si>
  <si>
    <t>Ликвидация стихийных свалок (Прочая закупка товаров, работ и услуг)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</si>
  <si>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</si>
  <si>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</si>
  <si>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 xml:space="preserve">Муниципальная программа "Переселение граждан из аварийного жилищного фонда в муниципальном образовании город Струнино" </t>
  </si>
  <si>
    <t xml:space="preserve">Муниципальная программа "Обеспечение жильем молодых семей города Струнино муниципального образования город Струнино" </t>
  </si>
  <si>
    <t>Проведение физкультурно-массовых мероприятий (Капитальные вложения в объекты государственной (муниципальной) собственности)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</si>
  <si>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области"</t>
  </si>
  <si>
    <t>Благоустройство мест захоронений (Прочая закупка товаров, работ и услуг)</t>
  </si>
  <si>
    <t>Уличное освещение (Иные бюджетные ассигнования)</t>
  </si>
  <si>
    <t>Осуществление дорожной деятельности по ремонту автомобильных дорог общего пользования местного значения (Прочая закупка товаров, работ и услуг)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</si>
  <si>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</si>
  <si>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Основное мероприятие: "Хозяйственно-техническое обеспечение деятельности муниципальных учреждений"</t>
  </si>
  <si>
    <t>Основное мероприятие "Проведение противопожарных мероприятий "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</si>
  <si>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</si>
  <si>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Расходы на обеспечение функций органов власти (Прочая закупка товаров, работ и услуг)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</si>
  <si>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Струнино»"</t>
  </si>
  <si>
    <t>Софинансирование проекта модернизации по концессион.соглашениям в сфере тепло-водоснабжения, водоотведения (Прочая закупка товаров, работ и услуг)</t>
  </si>
  <si>
    <t>Сумма на 2018 год, 
тыс. руб.</t>
  </si>
  <si>
    <t xml:space="preserve">Приложение №2 
к решению Совета народных депутатов
города Струнино   
от                         № </t>
  </si>
  <si>
    <t>Муниципальная программма "Использование и охрана земель на территории муниципального образования город Струнино"</t>
  </si>
  <si>
    <t>99 9 00 S9505</t>
  </si>
  <si>
    <t>96 9 00 09505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</si>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</sst>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"/>
    <numFmt numFmtId="185" formatCode="#,##0.0"/>
    <numFmt numFmtId="186" formatCode="#,##0.000"/>
    <numFmt numFmtId="187" formatCode="_-* #,##0.000\ _₽_-;\-* #,##0.000\ _₽_-;_-* &quot;-&quot;??\ _₽_-;_-@_-"/>
    <numFmt numFmtId="188" formatCode="_-* #,##0.0000\ _₽_-;\-* #,##0.0000\ _₽_-;_-* &quot;-&quot;??\ _₽_-;_-@_-"/>
    <numFmt numFmtId="189" formatCode="_-* #,##0.00000\ _₽_-;\-* #,##0.00000\ _₽_-;_-* &quot;-&quot;??\ _₽_-;_-@_-"/>
    <numFmt numFmtId="190" formatCode="_-* #,##0.000000\ _₽_-;\-* #,##0.000000\ _₽_-;_-* &quot;-&quot;??\ _₽_-;_-@_-"/>
    <numFmt numFmtId="191" formatCode="_-* #,##0.0\ _₽_-;\-* #,##0.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2D2D2D"/>
      <name val="Times New Roman"/>
      <family val="1"/>
    </font>
    <font>
      <sz val="11"/>
      <color theme="5"/>
      <name val="Calibri"/>
      <family val="2"/>
    </font>
    <font>
      <b/>
      <sz val="12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35" borderId="11" xfId="0" applyNumberFormat="1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49" fontId="56" fillId="0" borderId="10" xfId="0" applyNumberFormat="1" applyFont="1" applyBorder="1" applyAlignment="1">
      <alignment horizontal="left" vertical="top"/>
    </xf>
    <xf numFmtId="0" fontId="3" fillId="36" borderId="10" xfId="53" applyFont="1" applyFill="1" applyBorder="1" applyAlignment="1">
      <alignment horizontal="left" vertical="top" wrapText="1"/>
      <protection/>
    </xf>
    <xf numFmtId="0" fontId="4" fillId="36" borderId="10" xfId="53" applyFont="1" applyFill="1" applyBorder="1" applyAlignment="1">
      <alignment horizontal="left" vertical="top" wrapText="1"/>
      <protection/>
    </xf>
    <xf numFmtId="0" fontId="0" fillId="37" borderId="0" xfId="0" applyFill="1" applyAlignment="1">
      <alignment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7" fillId="0" borderId="0" xfId="0" applyFont="1" applyAlignment="1">
      <alignment/>
    </xf>
    <xf numFmtId="0" fontId="3" fillId="35" borderId="13" xfId="0" applyNumberFormat="1" applyFont="1" applyFill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56" fillId="37" borderId="10" xfId="0" applyNumberFormat="1" applyFont="1" applyFill="1" applyBorder="1" applyAlignment="1">
      <alignment horizontal="center" vertical="top"/>
    </xf>
    <xf numFmtId="0" fontId="56" fillId="0" borderId="17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vertical="top" wrapText="1"/>
    </xf>
    <xf numFmtId="49" fontId="56" fillId="0" borderId="10" xfId="0" applyNumberFormat="1" applyFont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7" fillId="0" borderId="17" xfId="0" applyFont="1" applyBorder="1" applyAlignment="1">
      <alignment horizontal="left" vertical="top" wrapText="1"/>
    </xf>
    <xf numFmtId="0" fontId="55" fillId="33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 wrapText="1"/>
    </xf>
    <xf numFmtId="0" fontId="57" fillId="0" borderId="18" xfId="0" applyFont="1" applyBorder="1" applyAlignment="1">
      <alignment horizontal="left" vertical="top" wrapText="1"/>
    </xf>
    <xf numFmtId="0" fontId="31" fillId="37" borderId="0" xfId="0" applyFont="1" applyFill="1" applyAlignment="1">
      <alignment/>
    </xf>
    <xf numFmtId="0" fontId="4" fillId="0" borderId="0" xfId="0" applyFont="1" applyAlignment="1">
      <alignment/>
    </xf>
    <xf numFmtId="2" fontId="3" fillId="37" borderId="10" xfId="0" applyNumberFormat="1" applyFont="1" applyFill="1" applyBorder="1" applyAlignment="1">
      <alignment horizontal="center" vertical="top"/>
    </xf>
    <xf numFmtId="0" fontId="60" fillId="37" borderId="0" xfId="0" applyFont="1" applyFill="1" applyAlignment="1">
      <alignment/>
    </xf>
    <xf numFmtId="0" fontId="61" fillId="0" borderId="0" xfId="0" applyFont="1" applyAlignment="1">
      <alignment/>
    </xf>
    <xf numFmtId="0" fontId="3" fillId="35" borderId="10" xfId="0" applyNumberFormat="1" applyFont="1" applyFill="1" applyBorder="1" applyAlignment="1">
      <alignment horizontal="left" vertical="top" wrapText="1"/>
    </xf>
    <xf numFmtId="0" fontId="62" fillId="36" borderId="10" xfId="53" applyFont="1" applyFill="1" applyBorder="1" applyAlignment="1">
      <alignment horizontal="left" vertical="top" wrapText="1"/>
      <protection/>
    </xf>
    <xf numFmtId="176" fontId="60" fillId="37" borderId="0" xfId="0" applyNumberFormat="1" applyFont="1" applyFill="1" applyAlignment="1">
      <alignment/>
    </xf>
    <xf numFmtId="176" fontId="61" fillId="0" borderId="0" xfId="0" applyNumberFormat="1" applyFont="1" applyAlignment="1">
      <alignment/>
    </xf>
    <xf numFmtId="176" fontId="3" fillId="37" borderId="10" xfId="0" applyNumberFormat="1" applyFont="1" applyFill="1" applyBorder="1" applyAlignment="1">
      <alignment horizontal="center" vertical="top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3" fontId="0" fillId="0" borderId="0" xfId="0" applyNumberFormat="1" applyAlignment="1">
      <alignment/>
    </xf>
    <xf numFmtId="177" fontId="3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7" fontId="3" fillId="37" borderId="15" xfId="0" applyNumberFormat="1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top"/>
    </xf>
    <xf numFmtId="49" fontId="57" fillId="0" borderId="10" xfId="0" applyNumberFormat="1" applyFont="1" applyBorder="1" applyAlignment="1">
      <alignment horizontal="left" vertical="top"/>
    </xf>
    <xf numFmtId="2" fontId="57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38" borderId="10" xfId="0" applyNumberFormat="1" applyFont="1" applyFill="1" applyBorder="1" applyAlignment="1">
      <alignment horizontal="center" vertical="top"/>
    </xf>
    <xf numFmtId="176" fontId="4" fillId="39" borderId="10" xfId="0" applyNumberFormat="1" applyFont="1" applyFill="1" applyBorder="1" applyAlignment="1">
      <alignment horizontal="center" vertical="top"/>
    </xf>
    <xf numFmtId="2" fontId="57" fillId="37" borderId="10" xfId="0" applyNumberFormat="1" applyFont="1" applyFill="1" applyBorder="1" applyAlignment="1">
      <alignment horizontal="center" vertical="top"/>
    </xf>
    <xf numFmtId="173" fontId="4" fillId="37" borderId="10" xfId="0" applyNumberFormat="1" applyFont="1" applyFill="1" applyBorder="1" applyAlignment="1">
      <alignment horizontal="center" vertical="top"/>
    </xf>
    <xf numFmtId="176" fontId="4" fillId="38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2" fontId="56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76" fontId="3" fillId="0" borderId="10" xfId="0" applyNumberFormat="1" applyFont="1" applyBorder="1" applyAlignment="1">
      <alignment horizontal="center" vertical="top"/>
    </xf>
    <xf numFmtId="176" fontId="4" fillId="37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2" fontId="4" fillId="37" borderId="10" xfId="0" applyNumberFormat="1" applyFont="1" applyFill="1" applyBorder="1" applyAlignment="1">
      <alignment horizontal="center" vertical="top"/>
    </xf>
    <xf numFmtId="176" fontId="4" fillId="19" borderId="10" xfId="0" applyNumberFormat="1" applyFont="1" applyFill="1" applyBorder="1" applyAlignment="1">
      <alignment horizontal="center" vertical="top"/>
    </xf>
    <xf numFmtId="2" fontId="3" fillId="38" borderId="10" xfId="0" applyNumberFormat="1" applyFont="1" applyFill="1" applyBorder="1" applyAlignment="1">
      <alignment horizontal="center" vertical="top"/>
    </xf>
    <xf numFmtId="176" fontId="3" fillId="19" borderId="10" xfId="0" applyNumberFormat="1" applyFont="1" applyFill="1" applyBorder="1" applyAlignment="1">
      <alignment horizontal="center" vertical="top"/>
    </xf>
    <xf numFmtId="49" fontId="56" fillId="0" borderId="19" xfId="0" applyNumberFormat="1" applyFont="1" applyBorder="1" applyAlignment="1">
      <alignment horizontal="center" vertical="top"/>
    </xf>
    <xf numFmtId="49" fontId="53" fillId="33" borderId="10" xfId="0" applyNumberFormat="1" applyFont="1" applyFill="1" applyBorder="1" applyAlignment="1">
      <alignment horizontal="center" vertical="top" wrapText="1"/>
    </xf>
    <xf numFmtId="49" fontId="53" fillId="33" borderId="10" xfId="0" applyNumberFormat="1" applyFont="1" applyFill="1" applyBorder="1" applyAlignment="1">
      <alignment horizontal="left" vertical="top" wrapText="1"/>
    </xf>
    <xf numFmtId="2" fontId="55" fillId="37" borderId="10" xfId="0" applyNumberFormat="1" applyFont="1" applyFill="1" applyBorder="1" applyAlignment="1">
      <alignment horizontal="center" vertical="top" wrapText="1"/>
    </xf>
    <xf numFmtId="175" fontId="4" fillId="37" borderId="10" xfId="0" applyNumberFormat="1" applyFont="1" applyFill="1" applyBorder="1" applyAlignment="1">
      <alignment horizontal="center" vertical="top" wrapText="1"/>
    </xf>
    <xf numFmtId="176" fontId="4" fillId="37" borderId="10" xfId="0" applyNumberFormat="1" applyFont="1" applyFill="1" applyBorder="1" applyAlignment="1">
      <alignment horizontal="center" vertical="top" wrapText="1"/>
    </xf>
    <xf numFmtId="49" fontId="55" fillId="33" borderId="10" xfId="0" applyNumberFormat="1" applyFont="1" applyFill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left" vertical="top" wrapText="1"/>
    </xf>
    <xf numFmtId="2" fontId="4" fillId="37" borderId="10" xfId="0" applyNumberFormat="1" applyFont="1" applyFill="1" applyBorder="1" applyAlignment="1">
      <alignment horizontal="center" vertical="top" wrapText="1"/>
    </xf>
    <xf numFmtId="175" fontId="4" fillId="38" borderId="10" xfId="0" applyNumberFormat="1" applyFont="1" applyFill="1" applyBorder="1" applyAlignment="1">
      <alignment horizontal="center" vertical="top" wrapText="1"/>
    </xf>
    <xf numFmtId="176" fontId="4" fillId="39" borderId="10" xfId="0" applyNumberFormat="1" applyFont="1" applyFill="1" applyBorder="1" applyAlignment="1">
      <alignment horizontal="center" vertical="top" wrapText="1"/>
    </xf>
    <xf numFmtId="49" fontId="55" fillId="33" borderId="10" xfId="0" applyNumberFormat="1" applyFont="1" applyFill="1" applyBorder="1" applyAlignment="1">
      <alignment horizontal="left" vertical="top" wrapText="1"/>
    </xf>
    <xf numFmtId="172" fontId="4" fillId="37" borderId="10" xfId="0" applyNumberFormat="1" applyFont="1" applyFill="1" applyBorder="1" applyAlignment="1">
      <alignment horizontal="center" vertical="top" wrapText="1"/>
    </xf>
    <xf numFmtId="176" fontId="4" fillId="19" borderId="10" xfId="0" applyNumberFormat="1" applyFont="1" applyFill="1" applyBorder="1" applyAlignment="1">
      <alignment horizontal="center" vertical="top" wrapText="1"/>
    </xf>
    <xf numFmtId="49" fontId="58" fillId="33" borderId="10" xfId="0" applyNumberFormat="1" applyFont="1" applyFill="1" applyBorder="1" applyAlignment="1">
      <alignment horizontal="center" vertical="top" wrapText="1"/>
    </xf>
    <xf numFmtId="49" fontId="58" fillId="33" borderId="10" xfId="0" applyNumberFormat="1" applyFont="1" applyFill="1" applyBorder="1" applyAlignment="1">
      <alignment horizontal="left" vertical="top" wrapText="1"/>
    </xf>
    <xf numFmtId="2" fontId="58" fillId="37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176" fontId="3" fillId="37" borderId="10" xfId="0" applyNumberFormat="1" applyFont="1" applyFill="1" applyBorder="1" applyAlignment="1">
      <alignment horizontal="center" vertical="top" wrapText="1"/>
    </xf>
    <xf numFmtId="2" fontId="58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center" vertical="top" wrapText="1"/>
    </xf>
    <xf numFmtId="176" fontId="4" fillId="38" borderId="10" xfId="0" applyNumberFormat="1" applyFont="1" applyFill="1" applyBorder="1" applyAlignment="1">
      <alignment horizontal="center" vertical="top" wrapText="1"/>
    </xf>
    <xf numFmtId="176" fontId="3" fillId="38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56" fillId="0" borderId="17" xfId="0" applyNumberFormat="1" applyFont="1" applyBorder="1" applyAlignment="1">
      <alignment horizontal="center" vertical="top"/>
    </xf>
    <xf numFmtId="49" fontId="56" fillId="0" borderId="17" xfId="0" applyNumberFormat="1" applyFont="1" applyBorder="1" applyAlignment="1">
      <alignment horizontal="left" vertical="top"/>
    </xf>
    <xf numFmtId="2" fontId="56" fillId="0" borderId="17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176" fontId="3" fillId="38" borderId="17" xfId="0" applyNumberFormat="1" applyFont="1" applyFill="1" applyBorder="1" applyAlignment="1">
      <alignment horizontal="center" vertical="top"/>
    </xf>
    <xf numFmtId="175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top"/>
    </xf>
    <xf numFmtId="49" fontId="56" fillId="0" borderId="18" xfId="0" applyNumberFormat="1" applyFont="1" applyBorder="1" applyAlignment="1">
      <alignment horizontal="center" vertical="top"/>
    </xf>
    <xf numFmtId="49" fontId="56" fillId="0" borderId="18" xfId="0" applyNumberFormat="1" applyFont="1" applyBorder="1" applyAlignment="1">
      <alignment horizontal="left" vertical="top"/>
    </xf>
    <xf numFmtId="2" fontId="56" fillId="37" borderId="18" xfId="0" applyNumberFormat="1" applyFont="1" applyFill="1" applyBorder="1" applyAlignment="1">
      <alignment horizontal="center" vertical="top"/>
    </xf>
    <xf numFmtId="2" fontId="3" fillId="37" borderId="18" xfId="0" applyNumberFormat="1" applyFont="1" applyFill="1" applyBorder="1" applyAlignment="1">
      <alignment horizontal="center" vertical="top"/>
    </xf>
    <xf numFmtId="176" fontId="3" fillId="38" borderId="18" xfId="0" applyNumberFormat="1" applyFont="1" applyFill="1" applyBorder="1" applyAlignment="1">
      <alignment horizontal="center" vertical="top"/>
    </xf>
    <xf numFmtId="175" fontId="3" fillId="37" borderId="10" xfId="0" applyNumberFormat="1" applyFont="1" applyFill="1" applyBorder="1" applyAlignment="1">
      <alignment horizontal="center" vertical="top"/>
    </xf>
    <xf numFmtId="175" fontId="3" fillId="0" borderId="10" xfId="0" applyNumberFormat="1" applyFont="1" applyBorder="1" applyAlignment="1">
      <alignment horizontal="center" vertical="top"/>
    </xf>
    <xf numFmtId="177" fontId="3" fillId="19" borderId="10" xfId="0" applyNumberFormat="1" applyFont="1" applyFill="1" applyBorder="1" applyAlignment="1">
      <alignment horizontal="center" vertical="top"/>
    </xf>
    <xf numFmtId="49" fontId="62" fillId="0" borderId="10" xfId="0" applyNumberFormat="1" applyFont="1" applyBorder="1" applyAlignment="1">
      <alignment horizontal="left" vertical="top"/>
    </xf>
    <xf numFmtId="176" fontId="4" fillId="4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175" fontId="4" fillId="38" borderId="10" xfId="0" applyNumberFormat="1" applyFont="1" applyFill="1" applyBorder="1" applyAlignment="1">
      <alignment horizontal="center" vertical="top"/>
    </xf>
    <xf numFmtId="49" fontId="56" fillId="0" borderId="10" xfId="0" applyNumberFormat="1" applyFont="1" applyFill="1" applyBorder="1" applyAlignment="1">
      <alignment horizontal="center" vertical="top"/>
    </xf>
    <xf numFmtId="2" fontId="62" fillId="0" borderId="10" xfId="0" applyNumberFormat="1" applyFont="1" applyBorder="1" applyAlignment="1">
      <alignment horizontal="center" vertical="top"/>
    </xf>
    <xf numFmtId="176" fontId="62" fillId="0" borderId="10" xfId="0" applyNumberFormat="1" applyFont="1" applyBorder="1" applyAlignment="1">
      <alignment horizontal="center" vertical="top"/>
    </xf>
    <xf numFmtId="49" fontId="56" fillId="0" borderId="10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2" fontId="57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173" fontId="3" fillId="37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Border="1" applyAlignment="1">
      <alignment horizontal="center" vertical="top"/>
    </xf>
    <xf numFmtId="173" fontId="4" fillId="38" borderId="10" xfId="0" applyNumberFormat="1" applyFont="1" applyFill="1" applyBorder="1" applyAlignment="1">
      <alignment horizontal="center" vertical="top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176" fontId="4" fillId="37" borderId="17" xfId="0" applyNumberFormat="1" applyFont="1" applyFill="1" applyBorder="1" applyAlignment="1">
      <alignment horizontal="center" vertical="center" wrapText="1"/>
    </xf>
    <xf numFmtId="176" fontId="4" fillId="37" borderId="18" xfId="0" applyNumberFormat="1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textRotation="90" wrapText="1"/>
    </xf>
    <xf numFmtId="0" fontId="5" fillId="0" borderId="21" xfId="0" applyFont="1" applyFill="1" applyBorder="1" applyAlignment="1">
      <alignment horizontal="left" vertical="center" textRotation="90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4" fontId="5" fillId="0" borderId="22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84" fontId="5" fillId="0" borderId="23" xfId="0" applyNumberFormat="1" applyFont="1" applyFill="1" applyBorder="1" applyAlignment="1">
      <alignment horizontal="center" vertical="center" wrapText="1"/>
    </xf>
    <xf numFmtId="184" fontId="5" fillId="0" borderId="24" xfId="0" applyNumberFormat="1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4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M184" sqref="M184"/>
    </sheetView>
  </sheetViews>
  <sheetFormatPr defaultColWidth="9.140625" defaultRowHeight="15"/>
  <cols>
    <col min="1" max="1" width="7.28125" style="0" customWidth="1"/>
    <col min="2" max="2" width="46.00390625" style="0" customWidth="1"/>
    <col min="3" max="3" width="8.00390625" style="0" customWidth="1"/>
    <col min="4" max="4" width="9.7109375" style="0" customWidth="1"/>
    <col min="5" max="5" width="15.8515625" style="0" customWidth="1"/>
    <col min="6" max="6" width="9.8515625" style="0" customWidth="1"/>
    <col min="7" max="7" width="18.57421875" style="17" hidden="1" customWidth="1"/>
    <col min="8" max="8" width="18.57421875" style="47" hidden="1" customWidth="1"/>
    <col min="9" max="11" width="18.57421875" style="50" hidden="1" customWidth="1"/>
    <col min="12" max="12" width="18.57421875" style="54" hidden="1" customWidth="1"/>
    <col min="13" max="13" width="17.57421875" style="50" customWidth="1"/>
    <col min="14" max="14" width="12.57421875" style="0" bestFit="1" customWidth="1"/>
    <col min="15" max="15" width="10.57421875" style="0" bestFit="1" customWidth="1"/>
  </cols>
  <sheetData>
    <row r="1" spans="2:13" ht="15" customHeight="1">
      <c r="B1" s="1"/>
      <c r="E1" s="142" t="s">
        <v>311</v>
      </c>
      <c r="F1" s="142"/>
      <c r="G1" s="142"/>
      <c r="H1" s="142"/>
      <c r="I1" s="142"/>
      <c r="J1" s="142"/>
      <c r="K1" s="142"/>
      <c r="L1" s="142"/>
      <c r="M1" s="142"/>
    </row>
    <row r="2" spans="2:13" ht="74.25" customHeight="1">
      <c r="B2" s="2"/>
      <c r="C2" s="2"/>
      <c r="D2" s="2"/>
      <c r="E2" s="142"/>
      <c r="F2" s="142"/>
      <c r="G2" s="142"/>
      <c r="H2" s="142"/>
      <c r="I2" s="142"/>
      <c r="J2" s="142"/>
      <c r="K2" s="142"/>
      <c r="L2" s="142"/>
      <c r="M2" s="142"/>
    </row>
    <row r="3" spans="2:6" ht="18.75" customHeight="1">
      <c r="B3" s="143" t="s">
        <v>257</v>
      </c>
      <c r="C3" s="143"/>
      <c r="D3" s="143"/>
      <c r="E3" s="143"/>
      <c r="F3" s="143"/>
    </row>
    <row r="4" spans="2:6" ht="15" customHeight="1">
      <c r="B4" s="143"/>
      <c r="C4" s="143"/>
      <c r="D4" s="143"/>
      <c r="E4" s="143"/>
      <c r="F4" s="143"/>
    </row>
    <row r="5" spans="2:13" ht="6.75" customHeight="1">
      <c r="B5" s="20"/>
      <c r="C5" s="20"/>
      <c r="D5" s="20"/>
      <c r="E5" s="20"/>
      <c r="F5" s="20"/>
      <c r="G5" s="20"/>
      <c r="H5" s="48"/>
      <c r="I5" s="51"/>
      <c r="J5" s="51"/>
      <c r="K5" s="51"/>
      <c r="L5" s="55"/>
      <c r="M5" s="51"/>
    </row>
    <row r="6" spans="1:13" ht="137.25" customHeight="1">
      <c r="A6" s="148" t="s">
        <v>58</v>
      </c>
      <c r="B6" s="156" t="s">
        <v>0</v>
      </c>
      <c r="C6" s="150" t="s">
        <v>59</v>
      </c>
      <c r="D6" s="150" t="s">
        <v>87</v>
      </c>
      <c r="E6" s="152" t="s">
        <v>60</v>
      </c>
      <c r="F6" s="154" t="s">
        <v>88</v>
      </c>
      <c r="G6" s="146" t="s">
        <v>86</v>
      </c>
      <c r="H6" s="146" t="s">
        <v>231</v>
      </c>
      <c r="I6" s="146" t="s">
        <v>230</v>
      </c>
      <c r="J6" s="146" t="s">
        <v>242</v>
      </c>
      <c r="K6" s="146" t="s">
        <v>243</v>
      </c>
      <c r="L6" s="144" t="s">
        <v>250</v>
      </c>
      <c r="M6" s="146" t="s">
        <v>310</v>
      </c>
    </row>
    <row r="7" spans="1:13" ht="8.25" customHeight="1">
      <c r="A7" s="149"/>
      <c r="B7" s="157"/>
      <c r="C7" s="151"/>
      <c r="D7" s="151"/>
      <c r="E7" s="153"/>
      <c r="F7" s="155"/>
      <c r="G7" s="147"/>
      <c r="H7" s="147"/>
      <c r="I7" s="147"/>
      <c r="J7" s="147"/>
      <c r="K7" s="147"/>
      <c r="L7" s="145"/>
      <c r="M7" s="147"/>
    </row>
    <row r="8" spans="1:13" ht="31.5">
      <c r="A8" s="3">
        <v>703</v>
      </c>
      <c r="B8" s="41" t="s">
        <v>3</v>
      </c>
      <c r="C8" s="83"/>
      <c r="D8" s="83"/>
      <c r="E8" s="84"/>
      <c r="F8" s="83"/>
      <c r="G8" s="85">
        <f aca="true" t="shared" si="0" ref="G8:L8">G9+G52+G58+G70+G123+G180+G198+G222+G175</f>
        <v>61661.700000000004</v>
      </c>
      <c r="H8" s="86">
        <f t="shared" si="0"/>
        <v>74577.1436</v>
      </c>
      <c r="I8" s="87">
        <f t="shared" si="0"/>
        <v>95125.14292</v>
      </c>
      <c r="J8" s="87">
        <f t="shared" si="0"/>
        <v>122424.03253</v>
      </c>
      <c r="K8" s="87">
        <f t="shared" si="0"/>
        <v>130424.03253</v>
      </c>
      <c r="L8" s="87">
        <f t="shared" si="0"/>
        <v>129519.51569000001</v>
      </c>
      <c r="M8" s="87">
        <f>M9+M58+M70+M123+M175+M180+M198+M222</f>
        <v>-1120.1244199999985</v>
      </c>
    </row>
    <row r="9" spans="1:13" ht="21.75" customHeight="1">
      <c r="A9" s="23"/>
      <c r="B9" s="42" t="s">
        <v>1</v>
      </c>
      <c r="C9" s="88" t="s">
        <v>4</v>
      </c>
      <c r="D9" s="89"/>
      <c r="E9" s="90"/>
      <c r="F9" s="89"/>
      <c r="G9" s="85">
        <f aca="true" t="shared" si="1" ref="G9:L9">G10+G15+G24+G28</f>
        <v>16413.379999999997</v>
      </c>
      <c r="H9" s="91">
        <f t="shared" si="1"/>
        <v>18713.9963</v>
      </c>
      <c r="I9" s="92">
        <f t="shared" si="1"/>
        <v>18713.9963</v>
      </c>
      <c r="J9" s="92">
        <f t="shared" si="1"/>
        <v>18593.0963</v>
      </c>
      <c r="K9" s="92">
        <f t="shared" si="1"/>
        <v>18593.0963</v>
      </c>
      <c r="L9" s="93">
        <f t="shared" si="1"/>
        <v>18433.535620000002</v>
      </c>
      <c r="M9" s="87">
        <f>M10+M15+M24+M28</f>
        <v>-159.56067999999948</v>
      </c>
    </row>
    <row r="10" spans="1:13" ht="84.75" customHeight="1">
      <c r="A10" s="23"/>
      <c r="B10" s="41" t="s">
        <v>2</v>
      </c>
      <c r="C10" s="88" t="s">
        <v>4</v>
      </c>
      <c r="D10" s="88" t="s">
        <v>9</v>
      </c>
      <c r="E10" s="94"/>
      <c r="F10" s="88"/>
      <c r="G10" s="85">
        <f aca="true" t="shared" si="2" ref="G10:L11">G11</f>
        <v>464.6</v>
      </c>
      <c r="H10" s="91">
        <f t="shared" si="2"/>
        <v>477.7</v>
      </c>
      <c r="I10" s="95">
        <f t="shared" si="2"/>
        <v>477.7</v>
      </c>
      <c r="J10" s="91">
        <f t="shared" si="2"/>
        <v>477.7</v>
      </c>
      <c r="K10" s="91">
        <f t="shared" si="2"/>
        <v>477.7</v>
      </c>
      <c r="L10" s="96">
        <f t="shared" si="2"/>
        <v>273.19415999999995</v>
      </c>
      <c r="M10" s="87">
        <f>L10-K10</f>
        <v>-204.50584000000003</v>
      </c>
    </row>
    <row r="11" spans="1:13" ht="15.75">
      <c r="A11" s="23"/>
      <c r="B11" s="27" t="s">
        <v>54</v>
      </c>
      <c r="C11" s="97" t="s">
        <v>4</v>
      </c>
      <c r="D11" s="97" t="s">
        <v>9</v>
      </c>
      <c r="E11" s="98" t="s">
        <v>6</v>
      </c>
      <c r="F11" s="97"/>
      <c r="G11" s="99">
        <f t="shared" si="2"/>
        <v>464.6</v>
      </c>
      <c r="H11" s="100">
        <f t="shared" si="2"/>
        <v>477.7</v>
      </c>
      <c r="I11" s="100">
        <f t="shared" si="2"/>
        <v>477.7</v>
      </c>
      <c r="J11" s="100">
        <f t="shared" si="2"/>
        <v>477.7</v>
      </c>
      <c r="K11" s="100">
        <f t="shared" si="2"/>
        <v>477.7</v>
      </c>
      <c r="L11" s="101">
        <f t="shared" si="2"/>
        <v>273.19415999999995</v>
      </c>
      <c r="M11" s="101">
        <f>M12</f>
        <v>-204.50584</v>
      </c>
    </row>
    <row r="12" spans="1:13" ht="15.75">
      <c r="A12" s="23"/>
      <c r="B12" s="27" t="s">
        <v>116</v>
      </c>
      <c r="C12" s="97" t="s">
        <v>4</v>
      </c>
      <c r="D12" s="97" t="s">
        <v>9</v>
      </c>
      <c r="E12" s="98" t="s">
        <v>55</v>
      </c>
      <c r="F12" s="97"/>
      <c r="G12" s="99">
        <f aca="true" t="shared" si="3" ref="G12:L12">G13+G14</f>
        <v>464.6</v>
      </c>
      <c r="H12" s="100">
        <f t="shared" si="3"/>
        <v>477.7</v>
      </c>
      <c r="I12" s="100">
        <f t="shared" si="3"/>
        <v>477.7</v>
      </c>
      <c r="J12" s="100">
        <f t="shared" si="3"/>
        <v>477.7</v>
      </c>
      <c r="K12" s="100">
        <f t="shared" si="3"/>
        <v>477.7</v>
      </c>
      <c r="L12" s="101">
        <f t="shared" si="3"/>
        <v>273.19415999999995</v>
      </c>
      <c r="M12" s="101">
        <f>M13+M14</f>
        <v>-204.50584</v>
      </c>
    </row>
    <row r="13" spans="1:13" ht="117.75" customHeight="1">
      <c r="A13" s="23"/>
      <c r="B13" s="6" t="s">
        <v>92</v>
      </c>
      <c r="C13" s="97" t="s">
        <v>4</v>
      </c>
      <c r="D13" s="97" t="s">
        <v>9</v>
      </c>
      <c r="E13" s="98" t="s">
        <v>7</v>
      </c>
      <c r="F13" s="83" t="s">
        <v>8</v>
      </c>
      <c r="G13" s="102">
        <v>225.6</v>
      </c>
      <c r="H13" s="103">
        <f>225.6+13.1</f>
        <v>238.7</v>
      </c>
      <c r="I13" s="104">
        <f>225.6+13.1</f>
        <v>238.7</v>
      </c>
      <c r="J13" s="103">
        <f>225.6+13.1</f>
        <v>238.7</v>
      </c>
      <c r="K13" s="103">
        <f>225.6+13.1</f>
        <v>238.7</v>
      </c>
      <c r="L13" s="105">
        <f>225.6+13.1+2+0.41656+2.5476</f>
        <v>243.66415999999998</v>
      </c>
      <c r="M13" s="101">
        <v>4.96416</v>
      </c>
    </row>
    <row r="14" spans="1:13" ht="47.25">
      <c r="A14" s="23"/>
      <c r="B14" s="28" t="s">
        <v>258</v>
      </c>
      <c r="C14" s="97" t="s">
        <v>4</v>
      </c>
      <c r="D14" s="97" t="s">
        <v>9</v>
      </c>
      <c r="E14" s="98" t="s">
        <v>13</v>
      </c>
      <c r="F14" s="83" t="s">
        <v>14</v>
      </c>
      <c r="G14" s="102">
        <v>239</v>
      </c>
      <c r="H14" s="103">
        <v>239</v>
      </c>
      <c r="I14" s="103">
        <v>239</v>
      </c>
      <c r="J14" s="104">
        <v>239</v>
      </c>
      <c r="K14" s="104">
        <v>239</v>
      </c>
      <c r="L14" s="106">
        <f>4.56+24.97</f>
        <v>29.529999999999998</v>
      </c>
      <c r="M14" s="101">
        <v>-209.47</v>
      </c>
    </row>
    <row r="15" spans="1:13" ht="86.25" customHeight="1">
      <c r="A15" s="23"/>
      <c r="B15" s="29" t="s">
        <v>56</v>
      </c>
      <c r="C15" s="88" t="s">
        <v>4</v>
      </c>
      <c r="D15" s="88" t="s">
        <v>10</v>
      </c>
      <c r="E15" s="98"/>
      <c r="F15" s="83"/>
      <c r="G15" s="85">
        <f aca="true" t="shared" si="4" ref="G15:L15">G16+G21</f>
        <v>2550.9</v>
      </c>
      <c r="H15" s="91">
        <f t="shared" si="4"/>
        <v>2777.5</v>
      </c>
      <c r="I15" s="91">
        <f t="shared" si="4"/>
        <v>2777.5</v>
      </c>
      <c r="J15" s="91">
        <f t="shared" si="4"/>
        <v>2547.6</v>
      </c>
      <c r="K15" s="91">
        <f t="shared" si="4"/>
        <v>2547.6</v>
      </c>
      <c r="L15" s="107">
        <f t="shared" si="4"/>
        <v>2315.20972</v>
      </c>
      <c r="M15" s="87">
        <f>M16+M21</f>
        <v>-232.39028000000016</v>
      </c>
    </row>
    <row r="16" spans="1:13" ht="15.75">
      <c r="A16" s="23"/>
      <c r="B16" s="30" t="s">
        <v>57</v>
      </c>
      <c r="C16" s="97" t="s">
        <v>4</v>
      </c>
      <c r="D16" s="97" t="s">
        <v>10</v>
      </c>
      <c r="E16" s="98" t="s">
        <v>11</v>
      </c>
      <c r="F16" s="97"/>
      <c r="G16" s="99">
        <f aca="true" t="shared" si="5" ref="G16:L16">G17</f>
        <v>2538.9</v>
      </c>
      <c r="H16" s="100">
        <f t="shared" si="5"/>
        <v>2765.5</v>
      </c>
      <c r="I16" s="100">
        <f t="shared" si="5"/>
        <v>2765.5</v>
      </c>
      <c r="J16" s="100">
        <f t="shared" si="5"/>
        <v>2535.6</v>
      </c>
      <c r="K16" s="100">
        <f t="shared" si="5"/>
        <v>2535.6</v>
      </c>
      <c r="L16" s="101">
        <f t="shared" si="5"/>
        <v>2310.3097199999997</v>
      </c>
      <c r="M16" s="101">
        <f>L16-K16</f>
        <v>-225.29028000000017</v>
      </c>
    </row>
    <row r="17" spans="1:13" ht="22.5" customHeight="1">
      <c r="A17" s="23"/>
      <c r="B17" s="31" t="s">
        <v>116</v>
      </c>
      <c r="C17" s="8" t="s">
        <v>4</v>
      </c>
      <c r="D17" s="8" t="s">
        <v>10</v>
      </c>
      <c r="E17" s="14" t="s">
        <v>12</v>
      </c>
      <c r="F17" s="8"/>
      <c r="G17" s="25">
        <f aca="true" t="shared" si="6" ref="G17:L17">G18+G19+G20</f>
        <v>2538.9</v>
      </c>
      <c r="H17" s="49">
        <f t="shared" si="6"/>
        <v>2765.5</v>
      </c>
      <c r="I17" s="49">
        <f t="shared" si="6"/>
        <v>2765.5</v>
      </c>
      <c r="J17" s="49">
        <f t="shared" si="6"/>
        <v>2535.6</v>
      </c>
      <c r="K17" s="49">
        <f t="shared" si="6"/>
        <v>2535.6</v>
      </c>
      <c r="L17" s="56">
        <f t="shared" si="6"/>
        <v>2310.3097199999997</v>
      </c>
      <c r="M17" s="101">
        <f>M18+M19+M20</f>
        <v>-225.29028</v>
      </c>
    </row>
    <row r="18" spans="1:13" ht="119.25" customHeight="1">
      <c r="A18" s="23"/>
      <c r="B18" s="43" t="s">
        <v>93</v>
      </c>
      <c r="C18" s="8" t="s">
        <v>4</v>
      </c>
      <c r="D18" s="8" t="s">
        <v>10</v>
      </c>
      <c r="E18" s="14" t="s">
        <v>16</v>
      </c>
      <c r="F18" s="8" t="s">
        <v>8</v>
      </c>
      <c r="G18" s="73">
        <v>885.5</v>
      </c>
      <c r="H18" s="74">
        <f>885.5+147.3</f>
        <v>1032.8</v>
      </c>
      <c r="I18" s="74">
        <f>885.5+147.3</f>
        <v>1032.8</v>
      </c>
      <c r="J18" s="74">
        <f>885.5+147.3</f>
        <v>1032.8</v>
      </c>
      <c r="K18" s="74">
        <f>885.5+147.3</f>
        <v>1032.8</v>
      </c>
      <c r="L18" s="108">
        <f>885.5+147.3-13.19272-6.70229</f>
        <v>1012.90499</v>
      </c>
      <c r="M18" s="101">
        <v>-19.89501</v>
      </c>
    </row>
    <row r="19" spans="1:13" ht="117.75" customHeight="1">
      <c r="A19" s="23"/>
      <c r="B19" s="6" t="s">
        <v>94</v>
      </c>
      <c r="C19" s="109" t="s">
        <v>4</v>
      </c>
      <c r="D19" s="109" t="s">
        <v>10</v>
      </c>
      <c r="E19" s="9" t="s">
        <v>7</v>
      </c>
      <c r="F19" s="8" t="s">
        <v>8</v>
      </c>
      <c r="G19" s="73">
        <v>1643.4</v>
      </c>
      <c r="H19" s="74">
        <f>1643.4+79.3</f>
        <v>1722.7</v>
      </c>
      <c r="I19" s="74">
        <f>1643.4+79.3</f>
        <v>1722.7</v>
      </c>
      <c r="J19" s="74">
        <f>1643.4+79.3-229.9</f>
        <v>1492.8</v>
      </c>
      <c r="K19" s="74">
        <f>1643.4+79.3-229.9</f>
        <v>1492.8</v>
      </c>
      <c r="L19" s="108">
        <f>1643.4+79.3-229.9-0.9656-99.32164-105.65707+0.86904</f>
        <v>1287.7247300000001</v>
      </c>
      <c r="M19" s="101">
        <v>-205.07527</v>
      </c>
    </row>
    <row r="20" spans="1:13" ht="51.75" customHeight="1">
      <c r="A20" s="23"/>
      <c r="B20" s="32" t="s">
        <v>307</v>
      </c>
      <c r="C20" s="110" t="s">
        <v>4</v>
      </c>
      <c r="D20" s="110" t="s">
        <v>10</v>
      </c>
      <c r="E20" s="111" t="s">
        <v>13</v>
      </c>
      <c r="F20" s="110" t="s">
        <v>14</v>
      </c>
      <c r="G20" s="112">
        <v>10</v>
      </c>
      <c r="H20" s="113">
        <v>10</v>
      </c>
      <c r="I20" s="113">
        <f>10</f>
        <v>10</v>
      </c>
      <c r="J20" s="113">
        <f>10</f>
        <v>10</v>
      </c>
      <c r="K20" s="113">
        <f>10</f>
        <v>10</v>
      </c>
      <c r="L20" s="114">
        <f>10-0.32</f>
        <v>9.68</v>
      </c>
      <c r="M20" s="101">
        <v>-0.32</v>
      </c>
    </row>
    <row r="21" spans="1:13" ht="47.25">
      <c r="A21" s="23"/>
      <c r="B21" s="4" t="s">
        <v>259</v>
      </c>
      <c r="C21" s="110" t="s">
        <v>4</v>
      </c>
      <c r="D21" s="110" t="s">
        <v>10</v>
      </c>
      <c r="E21" s="14" t="s">
        <v>4</v>
      </c>
      <c r="F21" s="8"/>
      <c r="G21" s="73">
        <f aca="true" t="shared" si="7" ref="G21:L22">G22</f>
        <v>12</v>
      </c>
      <c r="H21" s="74">
        <f t="shared" si="7"/>
        <v>12</v>
      </c>
      <c r="I21" s="74">
        <f t="shared" si="7"/>
        <v>12</v>
      </c>
      <c r="J21" s="74">
        <f t="shared" si="7"/>
        <v>12</v>
      </c>
      <c r="K21" s="74">
        <f t="shared" si="7"/>
        <v>12</v>
      </c>
      <c r="L21" s="108">
        <f t="shared" si="7"/>
        <v>4.9</v>
      </c>
      <c r="M21" s="101">
        <f>M22</f>
        <v>-7.1</v>
      </c>
    </row>
    <row r="22" spans="1:13" ht="51" customHeight="1">
      <c r="A22" s="23"/>
      <c r="B22" s="18" t="s">
        <v>206</v>
      </c>
      <c r="C22" s="110" t="s">
        <v>4</v>
      </c>
      <c r="D22" s="110" t="s">
        <v>10</v>
      </c>
      <c r="E22" s="14" t="s">
        <v>95</v>
      </c>
      <c r="F22" s="8"/>
      <c r="G22" s="73">
        <f t="shared" si="7"/>
        <v>12</v>
      </c>
      <c r="H22" s="74">
        <f t="shared" si="7"/>
        <v>12</v>
      </c>
      <c r="I22" s="74">
        <f t="shared" si="7"/>
        <v>12</v>
      </c>
      <c r="J22" s="74">
        <f t="shared" si="7"/>
        <v>12</v>
      </c>
      <c r="K22" s="74">
        <f t="shared" si="7"/>
        <v>12</v>
      </c>
      <c r="L22" s="75">
        <f t="shared" si="7"/>
        <v>4.9</v>
      </c>
      <c r="M22" s="101">
        <f>M23</f>
        <v>-7.1</v>
      </c>
    </row>
    <row r="23" spans="1:13" ht="31.5">
      <c r="A23" s="23"/>
      <c r="B23" s="18" t="s">
        <v>254</v>
      </c>
      <c r="C23" s="110" t="s">
        <v>4</v>
      </c>
      <c r="D23" s="110" t="s">
        <v>10</v>
      </c>
      <c r="E23" s="14" t="s">
        <v>96</v>
      </c>
      <c r="F23" s="8" t="s">
        <v>14</v>
      </c>
      <c r="G23" s="73">
        <v>12</v>
      </c>
      <c r="H23" s="74">
        <v>12</v>
      </c>
      <c r="I23" s="74">
        <v>12</v>
      </c>
      <c r="J23" s="74">
        <v>12</v>
      </c>
      <c r="K23" s="74">
        <v>12</v>
      </c>
      <c r="L23" s="75">
        <f>12-7.1</f>
        <v>4.9</v>
      </c>
      <c r="M23" s="101">
        <v>-7.1</v>
      </c>
    </row>
    <row r="24" spans="1:13" ht="15.75">
      <c r="A24" s="23"/>
      <c r="B24" s="33" t="s">
        <v>17</v>
      </c>
      <c r="C24" s="63" t="s">
        <v>4</v>
      </c>
      <c r="D24" s="63" t="s">
        <v>18</v>
      </c>
      <c r="E24" s="64"/>
      <c r="F24" s="63"/>
      <c r="G24" s="69">
        <f aca="true" t="shared" si="8" ref="G24:L26">G25</f>
        <v>20</v>
      </c>
      <c r="H24" s="78">
        <f t="shared" si="8"/>
        <v>20</v>
      </c>
      <c r="I24" s="78">
        <f t="shared" si="8"/>
        <v>20</v>
      </c>
      <c r="J24" s="78">
        <f t="shared" si="8"/>
        <v>20</v>
      </c>
      <c r="K24" s="78">
        <f t="shared" si="8"/>
        <v>20</v>
      </c>
      <c r="L24" s="71">
        <f t="shared" si="8"/>
        <v>0</v>
      </c>
      <c r="M24" s="87">
        <f>M25</f>
        <v>-20</v>
      </c>
    </row>
    <row r="25" spans="1:13" ht="15.75">
      <c r="A25" s="23"/>
      <c r="B25" s="4" t="s">
        <v>54</v>
      </c>
      <c r="C25" s="8" t="s">
        <v>4</v>
      </c>
      <c r="D25" s="8" t="s">
        <v>18</v>
      </c>
      <c r="E25" s="14" t="s">
        <v>11</v>
      </c>
      <c r="F25" s="8"/>
      <c r="G25" s="25">
        <f t="shared" si="8"/>
        <v>20</v>
      </c>
      <c r="H25" s="49">
        <f t="shared" si="8"/>
        <v>20</v>
      </c>
      <c r="I25" s="49">
        <f t="shared" si="8"/>
        <v>20</v>
      </c>
      <c r="J25" s="49">
        <f t="shared" si="8"/>
        <v>20</v>
      </c>
      <c r="K25" s="49">
        <f t="shared" si="8"/>
        <v>20</v>
      </c>
      <c r="L25" s="56">
        <f t="shared" si="8"/>
        <v>0</v>
      </c>
      <c r="M25" s="101">
        <f>M26</f>
        <v>-20</v>
      </c>
    </row>
    <row r="26" spans="1:13" ht="20.25" customHeight="1">
      <c r="A26" s="23"/>
      <c r="B26" s="4" t="s">
        <v>164</v>
      </c>
      <c r="C26" s="8" t="s">
        <v>4</v>
      </c>
      <c r="D26" s="8" t="s">
        <v>18</v>
      </c>
      <c r="E26" s="14" t="s">
        <v>12</v>
      </c>
      <c r="F26" s="8"/>
      <c r="G26" s="25">
        <f t="shared" si="8"/>
        <v>20</v>
      </c>
      <c r="H26" s="49">
        <f t="shared" si="8"/>
        <v>20</v>
      </c>
      <c r="I26" s="49">
        <f t="shared" si="8"/>
        <v>20</v>
      </c>
      <c r="J26" s="49">
        <f t="shared" si="8"/>
        <v>20</v>
      </c>
      <c r="K26" s="49">
        <f t="shared" si="8"/>
        <v>20</v>
      </c>
      <c r="L26" s="56">
        <f t="shared" si="8"/>
        <v>0</v>
      </c>
      <c r="M26" s="101">
        <f>M27</f>
        <v>-20</v>
      </c>
    </row>
    <row r="27" spans="1:13" ht="56.25" customHeight="1">
      <c r="A27" s="23"/>
      <c r="B27" s="4" t="s">
        <v>61</v>
      </c>
      <c r="C27" s="8" t="s">
        <v>4</v>
      </c>
      <c r="D27" s="8" t="s">
        <v>18</v>
      </c>
      <c r="E27" s="14" t="s">
        <v>97</v>
      </c>
      <c r="F27" s="8" t="s">
        <v>15</v>
      </c>
      <c r="G27" s="49">
        <v>20</v>
      </c>
      <c r="H27" s="49">
        <v>20</v>
      </c>
      <c r="I27" s="49">
        <v>20</v>
      </c>
      <c r="J27" s="49">
        <v>20</v>
      </c>
      <c r="K27" s="49">
        <v>20</v>
      </c>
      <c r="L27" s="56">
        <f>20-20</f>
        <v>0</v>
      </c>
      <c r="M27" s="101">
        <v>-20</v>
      </c>
    </row>
    <row r="28" spans="1:13" ht="27.75" customHeight="1">
      <c r="A28" s="23"/>
      <c r="B28" s="34" t="s">
        <v>19</v>
      </c>
      <c r="C28" s="63" t="s">
        <v>4</v>
      </c>
      <c r="D28" s="63" t="s">
        <v>20</v>
      </c>
      <c r="E28" s="64"/>
      <c r="F28" s="63"/>
      <c r="G28" s="65">
        <f>G29+G41+G34</f>
        <v>13377.88</v>
      </c>
      <c r="H28" s="66">
        <f>H29+H41+H34</f>
        <v>15438.7963</v>
      </c>
      <c r="I28" s="115">
        <f>I29+I41+I34</f>
        <v>15438.7963</v>
      </c>
      <c r="J28" s="115">
        <f>J29+J41+J34+J48</f>
        <v>15547.7963</v>
      </c>
      <c r="K28" s="115">
        <f>K29+K41+K34+K48</f>
        <v>15547.7963</v>
      </c>
      <c r="L28" s="116">
        <f>L29+L34+L41+L48+L45</f>
        <v>15845.13174</v>
      </c>
      <c r="M28" s="87">
        <f>L28-K28</f>
        <v>297.33544000000074</v>
      </c>
    </row>
    <row r="29" spans="1:13" ht="47.25">
      <c r="A29" s="23"/>
      <c r="B29" s="4" t="s">
        <v>259</v>
      </c>
      <c r="C29" s="8" t="s">
        <v>4</v>
      </c>
      <c r="D29" s="8" t="s">
        <v>20</v>
      </c>
      <c r="E29" s="14" t="s">
        <v>4</v>
      </c>
      <c r="F29" s="8"/>
      <c r="G29" s="25">
        <f aca="true" t="shared" si="9" ref="G29:L29">G30+G32</f>
        <v>202</v>
      </c>
      <c r="H29" s="49">
        <f t="shared" si="9"/>
        <v>202</v>
      </c>
      <c r="I29" s="49">
        <f t="shared" si="9"/>
        <v>202</v>
      </c>
      <c r="J29" s="49">
        <f t="shared" si="9"/>
        <v>202</v>
      </c>
      <c r="K29" s="49">
        <f t="shared" si="9"/>
        <v>202</v>
      </c>
      <c r="L29" s="81">
        <f t="shared" si="9"/>
        <v>198.54999999999998</v>
      </c>
      <c r="M29" s="101">
        <f>L29-K29</f>
        <v>-3.450000000000017</v>
      </c>
    </row>
    <row r="30" spans="1:13" ht="52.5" customHeight="1">
      <c r="A30" s="23"/>
      <c r="B30" s="6" t="s">
        <v>206</v>
      </c>
      <c r="C30" s="8" t="s">
        <v>4</v>
      </c>
      <c r="D30" s="8" t="s">
        <v>20</v>
      </c>
      <c r="E30" s="14" t="s">
        <v>95</v>
      </c>
      <c r="F30" s="8"/>
      <c r="G30" s="73">
        <f aca="true" t="shared" si="10" ref="G30:L30">G31</f>
        <v>12</v>
      </c>
      <c r="H30" s="74">
        <f t="shared" si="10"/>
        <v>12</v>
      </c>
      <c r="I30" s="74">
        <f t="shared" si="10"/>
        <v>12</v>
      </c>
      <c r="J30" s="74">
        <f t="shared" si="10"/>
        <v>12</v>
      </c>
      <c r="K30" s="74">
        <f t="shared" si="10"/>
        <v>12</v>
      </c>
      <c r="L30" s="108">
        <f t="shared" si="10"/>
        <v>1.4499999999999993</v>
      </c>
      <c r="M30" s="101">
        <f>M31</f>
        <v>-10.55</v>
      </c>
    </row>
    <row r="31" spans="1:13" ht="31.5">
      <c r="A31" s="23"/>
      <c r="B31" s="6" t="s">
        <v>254</v>
      </c>
      <c r="C31" s="8" t="s">
        <v>4</v>
      </c>
      <c r="D31" s="8" t="s">
        <v>20</v>
      </c>
      <c r="E31" s="14" t="s">
        <v>96</v>
      </c>
      <c r="F31" s="8" t="s">
        <v>14</v>
      </c>
      <c r="G31" s="73">
        <v>12</v>
      </c>
      <c r="H31" s="74">
        <v>12</v>
      </c>
      <c r="I31" s="74">
        <v>12</v>
      </c>
      <c r="J31" s="74">
        <v>12</v>
      </c>
      <c r="K31" s="74">
        <v>12</v>
      </c>
      <c r="L31" s="75">
        <f>12-10.55</f>
        <v>1.4499999999999993</v>
      </c>
      <c r="M31" s="101">
        <v>-10.55</v>
      </c>
    </row>
    <row r="32" spans="1:13" ht="94.5">
      <c r="A32" s="23"/>
      <c r="B32" s="35" t="s">
        <v>306</v>
      </c>
      <c r="C32" s="117" t="s">
        <v>4</v>
      </c>
      <c r="D32" s="117" t="s">
        <v>20</v>
      </c>
      <c r="E32" s="118" t="s">
        <v>98</v>
      </c>
      <c r="F32" s="117"/>
      <c r="G32" s="119">
        <f aca="true" t="shared" si="11" ref="G32:L32">G33</f>
        <v>190</v>
      </c>
      <c r="H32" s="120">
        <f t="shared" si="11"/>
        <v>190</v>
      </c>
      <c r="I32" s="120">
        <f t="shared" si="11"/>
        <v>190</v>
      </c>
      <c r="J32" s="120">
        <f t="shared" si="11"/>
        <v>190</v>
      </c>
      <c r="K32" s="120">
        <f t="shared" si="11"/>
        <v>190</v>
      </c>
      <c r="L32" s="121">
        <f t="shared" si="11"/>
        <v>197.1</v>
      </c>
      <c r="M32" s="101">
        <f>M33</f>
        <v>7.1</v>
      </c>
    </row>
    <row r="33" spans="1:13" ht="110.25">
      <c r="A33" s="23"/>
      <c r="B33" s="32" t="s">
        <v>208</v>
      </c>
      <c r="C33" s="110" t="s">
        <v>4</v>
      </c>
      <c r="D33" s="110" t="s">
        <v>20</v>
      </c>
      <c r="E33" s="14" t="s">
        <v>99</v>
      </c>
      <c r="F33" s="110" t="s">
        <v>14</v>
      </c>
      <c r="G33" s="73">
        <v>190</v>
      </c>
      <c r="H33" s="74">
        <v>190</v>
      </c>
      <c r="I33" s="74">
        <v>190</v>
      </c>
      <c r="J33" s="74">
        <v>190</v>
      </c>
      <c r="K33" s="74">
        <v>190</v>
      </c>
      <c r="L33" s="75">
        <f>190+7.1</f>
        <v>197.1</v>
      </c>
      <c r="M33" s="101">
        <v>7.1</v>
      </c>
    </row>
    <row r="34" spans="1:13" ht="78.75">
      <c r="A34" s="23"/>
      <c r="B34" s="4" t="s">
        <v>303</v>
      </c>
      <c r="C34" s="8" t="s">
        <v>4</v>
      </c>
      <c r="D34" s="8" t="s">
        <v>20</v>
      </c>
      <c r="E34" s="14" t="s">
        <v>5</v>
      </c>
      <c r="F34" s="8"/>
      <c r="G34" s="25">
        <f aca="true" t="shared" si="12" ref="G34:L34">G35+G38+G40</f>
        <v>12795</v>
      </c>
      <c r="H34" s="49">
        <f t="shared" si="12"/>
        <v>13218.5163</v>
      </c>
      <c r="I34" s="122">
        <f t="shared" si="12"/>
        <v>13218.5163</v>
      </c>
      <c r="J34" s="122">
        <f t="shared" si="12"/>
        <v>13260.5163</v>
      </c>
      <c r="K34" s="122">
        <f t="shared" si="12"/>
        <v>13260.5163</v>
      </c>
      <c r="L34" s="81">
        <f t="shared" si="12"/>
        <v>13390.597650000002</v>
      </c>
      <c r="M34" s="101">
        <f>M35+M37+M39</f>
        <v>130.08135</v>
      </c>
    </row>
    <row r="35" spans="1:13" ht="36" customHeight="1">
      <c r="A35" s="23"/>
      <c r="B35" s="18" t="s">
        <v>100</v>
      </c>
      <c r="C35" s="8" t="s">
        <v>4</v>
      </c>
      <c r="D35" s="8" t="s">
        <v>20</v>
      </c>
      <c r="E35" s="14" t="s">
        <v>101</v>
      </c>
      <c r="F35" s="8"/>
      <c r="G35" s="25">
        <f aca="true" t="shared" si="13" ref="G35:L35">G36</f>
        <v>9848.6</v>
      </c>
      <c r="H35" s="49">
        <f t="shared" si="13"/>
        <v>9848.6</v>
      </c>
      <c r="I35" s="49">
        <f t="shared" si="13"/>
        <v>9848.6</v>
      </c>
      <c r="J35" s="49">
        <f t="shared" si="13"/>
        <v>9848.6</v>
      </c>
      <c r="K35" s="49">
        <f t="shared" si="13"/>
        <v>9848.6</v>
      </c>
      <c r="L35" s="108">
        <f t="shared" si="13"/>
        <v>9982.274860000001</v>
      </c>
      <c r="M35" s="101">
        <f>M36</f>
        <v>133.67486</v>
      </c>
    </row>
    <row r="36" spans="1:14" ht="141.75">
      <c r="A36" s="23"/>
      <c r="B36" s="18" t="s">
        <v>102</v>
      </c>
      <c r="C36" s="8" t="s">
        <v>4</v>
      </c>
      <c r="D36" s="8" t="s">
        <v>20</v>
      </c>
      <c r="E36" s="14" t="s">
        <v>103</v>
      </c>
      <c r="F36" s="8" t="s">
        <v>8</v>
      </c>
      <c r="G36" s="73">
        <v>9848.6</v>
      </c>
      <c r="H36" s="74">
        <v>9848.6</v>
      </c>
      <c r="I36" s="74">
        <v>9848.6</v>
      </c>
      <c r="J36" s="74">
        <v>9848.6</v>
      </c>
      <c r="K36" s="74">
        <v>9848.6</v>
      </c>
      <c r="L36" s="108">
        <f>9848.6+127.03218+6.64268</f>
        <v>9982.274860000001</v>
      </c>
      <c r="M36" s="101">
        <v>133.67486</v>
      </c>
      <c r="N36" s="58"/>
    </row>
    <row r="37" spans="1:13" ht="48.75" customHeight="1">
      <c r="A37" s="23"/>
      <c r="B37" s="18" t="s">
        <v>205</v>
      </c>
      <c r="C37" s="8" t="s">
        <v>4</v>
      </c>
      <c r="D37" s="8" t="s">
        <v>20</v>
      </c>
      <c r="E37" s="14" t="s">
        <v>104</v>
      </c>
      <c r="F37" s="8"/>
      <c r="G37" s="25">
        <f aca="true" t="shared" si="14" ref="G37:L37">G38</f>
        <v>2556</v>
      </c>
      <c r="H37" s="49">
        <f t="shared" si="14"/>
        <v>2721.9163</v>
      </c>
      <c r="I37" s="122">
        <f t="shared" si="14"/>
        <v>2721.9163</v>
      </c>
      <c r="J37" s="122">
        <f t="shared" si="14"/>
        <v>2721.9163</v>
      </c>
      <c r="K37" s="122">
        <f t="shared" si="14"/>
        <v>2721.9163</v>
      </c>
      <c r="L37" s="56">
        <f t="shared" si="14"/>
        <v>2775.93993</v>
      </c>
      <c r="M37" s="101">
        <f>M38</f>
        <v>54.02363</v>
      </c>
    </row>
    <row r="38" spans="1:13" ht="48" customHeight="1">
      <c r="A38" s="23"/>
      <c r="B38" s="15" t="s">
        <v>260</v>
      </c>
      <c r="C38" s="8" t="s">
        <v>4</v>
      </c>
      <c r="D38" s="8" t="s">
        <v>20</v>
      </c>
      <c r="E38" s="14" t="s">
        <v>105</v>
      </c>
      <c r="F38" s="8" t="s">
        <v>14</v>
      </c>
      <c r="G38" s="73">
        <f>2556-250+250</f>
        <v>2556</v>
      </c>
      <c r="H38" s="123">
        <f>2556-250+250+165.9163</f>
        <v>2721.9163</v>
      </c>
      <c r="I38" s="123">
        <f>2556-250+250+165.9163</f>
        <v>2721.9163</v>
      </c>
      <c r="J38" s="123">
        <f>2556-250+250+165.9163</f>
        <v>2721.9163</v>
      </c>
      <c r="K38" s="123">
        <f>2556-250+250+165.9163</f>
        <v>2721.9163</v>
      </c>
      <c r="L38" s="81">
        <f>2556-250+250+165.9163-40+25.811+51.53078+16.68185</f>
        <v>2775.93993</v>
      </c>
      <c r="M38" s="101">
        <v>54.02363</v>
      </c>
    </row>
    <row r="39" spans="1:13" ht="36.75" customHeight="1">
      <c r="A39" s="23"/>
      <c r="B39" s="15" t="s">
        <v>106</v>
      </c>
      <c r="C39" s="8" t="s">
        <v>4</v>
      </c>
      <c r="D39" s="8" t="s">
        <v>20</v>
      </c>
      <c r="E39" s="14" t="s">
        <v>107</v>
      </c>
      <c r="F39" s="8"/>
      <c r="G39" s="25">
        <f aca="true" t="shared" si="15" ref="G39:L39">G40</f>
        <v>390.4</v>
      </c>
      <c r="H39" s="49">
        <f t="shared" si="15"/>
        <v>648</v>
      </c>
      <c r="I39" s="49">
        <f t="shared" si="15"/>
        <v>648</v>
      </c>
      <c r="J39" s="49">
        <f t="shared" si="15"/>
        <v>690</v>
      </c>
      <c r="K39" s="49">
        <f t="shared" si="15"/>
        <v>690</v>
      </c>
      <c r="L39" s="108">
        <f t="shared" si="15"/>
        <v>632.38286</v>
      </c>
      <c r="M39" s="101">
        <f>M40</f>
        <v>-57.61714</v>
      </c>
    </row>
    <row r="40" spans="1:15" ht="50.25" customHeight="1">
      <c r="A40" s="23"/>
      <c r="B40" s="15" t="s">
        <v>204</v>
      </c>
      <c r="C40" s="8" t="s">
        <v>4</v>
      </c>
      <c r="D40" s="8" t="s">
        <v>20</v>
      </c>
      <c r="E40" s="14" t="s">
        <v>108</v>
      </c>
      <c r="F40" s="8" t="s">
        <v>15</v>
      </c>
      <c r="G40" s="73">
        <v>390.4</v>
      </c>
      <c r="H40" s="74">
        <f>390.4+257.6</f>
        <v>648</v>
      </c>
      <c r="I40" s="74">
        <f>390.4+257.6</f>
        <v>648</v>
      </c>
      <c r="J40" s="74">
        <f>390.4+257.6+42</f>
        <v>690</v>
      </c>
      <c r="K40" s="74">
        <f>390.4+257.6+42</f>
        <v>690</v>
      </c>
      <c r="L40" s="124">
        <f>390.4+257.6+42+42-25.811-10.31728-42.54572+5-4.40058-21.5426+0.00004</f>
        <v>632.38286</v>
      </c>
      <c r="M40" s="101">
        <v>-57.61714</v>
      </c>
      <c r="O40" s="59"/>
    </row>
    <row r="41" spans="1:13" ht="78.75">
      <c r="A41" s="23"/>
      <c r="B41" s="4" t="s">
        <v>261</v>
      </c>
      <c r="C41" s="8" t="s">
        <v>4</v>
      </c>
      <c r="D41" s="8" t="s">
        <v>20</v>
      </c>
      <c r="E41" s="14" t="s">
        <v>9</v>
      </c>
      <c r="F41" s="8"/>
      <c r="G41" s="73">
        <f>G42</f>
        <v>380.88</v>
      </c>
      <c r="H41" s="74">
        <f>H42+H44</f>
        <v>2018.2800000000002</v>
      </c>
      <c r="I41" s="74">
        <f>I42+I44</f>
        <v>2018.2800000000002</v>
      </c>
      <c r="J41" s="74">
        <f>J42+J44</f>
        <v>2018.2800000000002</v>
      </c>
      <c r="K41" s="74">
        <f>K42+K44</f>
        <v>2018.2800000000002</v>
      </c>
      <c r="L41" s="81">
        <f>L42+L44</f>
        <v>2188.9840900000004</v>
      </c>
      <c r="M41" s="101">
        <f>M42</f>
        <v>170.70409</v>
      </c>
    </row>
    <row r="42" spans="1:13" ht="35.25" customHeight="1">
      <c r="A42" s="23"/>
      <c r="B42" s="15" t="s">
        <v>77</v>
      </c>
      <c r="C42" s="8" t="s">
        <v>4</v>
      </c>
      <c r="D42" s="8" t="s">
        <v>20</v>
      </c>
      <c r="E42" s="14" t="s">
        <v>109</v>
      </c>
      <c r="F42" s="8"/>
      <c r="G42" s="73">
        <f>G43</f>
        <v>380.88</v>
      </c>
      <c r="H42" s="74">
        <f>H43</f>
        <v>1938.2800000000002</v>
      </c>
      <c r="I42" s="74">
        <f>I43</f>
        <v>1938.2800000000002</v>
      </c>
      <c r="J42" s="74">
        <f>J43</f>
        <v>1938.2800000000002</v>
      </c>
      <c r="K42" s="74">
        <f>K43</f>
        <v>1938.2800000000002</v>
      </c>
      <c r="L42" s="75">
        <f>L43</f>
        <v>2117.23903</v>
      </c>
      <c r="M42" s="101">
        <f>M43+M44</f>
        <v>170.70409</v>
      </c>
    </row>
    <row r="43" spans="1:15" ht="34.5" customHeight="1">
      <c r="A43" s="23"/>
      <c r="B43" s="15" t="s">
        <v>254</v>
      </c>
      <c r="C43" s="8" t="s">
        <v>4</v>
      </c>
      <c r="D43" s="8" t="s">
        <v>20</v>
      </c>
      <c r="E43" s="14" t="s">
        <v>110</v>
      </c>
      <c r="F43" s="8" t="s">
        <v>14</v>
      </c>
      <c r="G43" s="73">
        <v>380.88</v>
      </c>
      <c r="H43" s="74">
        <f>380.88+1557.4</f>
        <v>1938.2800000000002</v>
      </c>
      <c r="I43" s="74">
        <f>380.88+1557.4</f>
        <v>1938.2800000000002</v>
      </c>
      <c r="J43" s="74">
        <f>380.88+1557.4</f>
        <v>1938.2800000000002</v>
      </c>
      <c r="K43" s="74">
        <f>380.88+1557.4</f>
        <v>1938.2800000000002</v>
      </c>
      <c r="L43" s="108">
        <f>380.88+1557.4+97.39747+81.56156</f>
        <v>2117.23903</v>
      </c>
      <c r="M43" s="101">
        <v>178.95903</v>
      </c>
      <c r="O43" s="57"/>
    </row>
    <row r="44" spans="1:13" ht="35.25" customHeight="1">
      <c r="A44" s="23"/>
      <c r="B44" s="15" t="s">
        <v>214</v>
      </c>
      <c r="C44" s="8" t="s">
        <v>4</v>
      </c>
      <c r="D44" s="8" t="s">
        <v>20</v>
      </c>
      <c r="E44" s="14" t="s">
        <v>110</v>
      </c>
      <c r="F44" s="8" t="s">
        <v>15</v>
      </c>
      <c r="G44" s="73">
        <v>0</v>
      </c>
      <c r="H44" s="74">
        <v>80</v>
      </c>
      <c r="I44" s="74">
        <v>80</v>
      </c>
      <c r="J44" s="74">
        <v>80</v>
      </c>
      <c r="K44" s="74">
        <v>80</v>
      </c>
      <c r="L44" s="108">
        <f>80-8.25494</f>
        <v>71.74506</v>
      </c>
      <c r="M44" s="101">
        <v>-8.25494</v>
      </c>
    </row>
    <row r="45" spans="1:13" ht="0.75" customHeight="1" hidden="1">
      <c r="A45" s="23"/>
      <c r="B45" s="15" t="s">
        <v>294</v>
      </c>
      <c r="C45" s="8" t="s">
        <v>4</v>
      </c>
      <c r="D45" s="8" t="s">
        <v>20</v>
      </c>
      <c r="E45" s="14" t="s">
        <v>168</v>
      </c>
      <c r="F45" s="8"/>
      <c r="G45" s="73">
        <f aca="true" t="shared" si="16" ref="G45:L46">G46</f>
        <v>0</v>
      </c>
      <c r="H45" s="73">
        <f t="shared" si="16"/>
        <v>0</v>
      </c>
      <c r="I45" s="73">
        <f t="shared" si="16"/>
        <v>0</v>
      </c>
      <c r="J45" s="74">
        <f t="shared" si="16"/>
        <v>0</v>
      </c>
      <c r="K45" s="74">
        <f t="shared" si="16"/>
        <v>0</v>
      </c>
      <c r="L45" s="108">
        <f t="shared" si="16"/>
        <v>0</v>
      </c>
      <c r="M45" s="101">
        <f aca="true" t="shared" si="17" ref="M45:M58">L45-K45</f>
        <v>0</v>
      </c>
    </row>
    <row r="46" spans="1:13" ht="31.5" customHeight="1" hidden="1">
      <c r="A46" s="23"/>
      <c r="B46" s="15" t="s">
        <v>251</v>
      </c>
      <c r="C46" s="8" t="s">
        <v>4</v>
      </c>
      <c r="D46" s="8" t="s">
        <v>20</v>
      </c>
      <c r="E46" s="14" t="s">
        <v>170</v>
      </c>
      <c r="F46" s="8"/>
      <c r="G46" s="73">
        <f t="shared" si="16"/>
        <v>0</v>
      </c>
      <c r="H46" s="73">
        <f t="shared" si="16"/>
        <v>0</v>
      </c>
      <c r="I46" s="73">
        <f t="shared" si="16"/>
        <v>0</v>
      </c>
      <c r="J46" s="74">
        <f t="shared" si="16"/>
        <v>0</v>
      </c>
      <c r="K46" s="74">
        <f t="shared" si="16"/>
        <v>0</v>
      </c>
      <c r="L46" s="75">
        <f t="shared" si="16"/>
        <v>0</v>
      </c>
      <c r="M46" s="101">
        <f t="shared" si="17"/>
        <v>0</v>
      </c>
    </row>
    <row r="47" spans="1:13" ht="47.25" hidden="1">
      <c r="A47" s="23"/>
      <c r="B47" s="15" t="s">
        <v>252</v>
      </c>
      <c r="C47" s="8" t="s">
        <v>4</v>
      </c>
      <c r="D47" s="8" t="s">
        <v>20</v>
      </c>
      <c r="E47" s="14" t="s">
        <v>171</v>
      </c>
      <c r="F47" s="8" t="s">
        <v>14</v>
      </c>
      <c r="G47" s="73">
        <v>0</v>
      </c>
      <c r="H47" s="73">
        <v>0</v>
      </c>
      <c r="I47" s="73">
        <v>0</v>
      </c>
      <c r="J47" s="74">
        <v>0</v>
      </c>
      <c r="K47" s="74">
        <v>0</v>
      </c>
      <c r="L47" s="75">
        <f>13.83-5.58-8.25</f>
        <v>0</v>
      </c>
      <c r="M47" s="101">
        <f t="shared" si="17"/>
        <v>0</v>
      </c>
    </row>
    <row r="48" spans="1:13" ht="15.75" hidden="1">
      <c r="A48" s="23"/>
      <c r="B48" s="4" t="s">
        <v>54</v>
      </c>
      <c r="C48" s="8" t="s">
        <v>4</v>
      </c>
      <c r="D48" s="8" t="s">
        <v>20</v>
      </c>
      <c r="E48" s="14" t="s">
        <v>6</v>
      </c>
      <c r="F48" s="8"/>
      <c r="G48" s="73">
        <v>0</v>
      </c>
      <c r="H48" s="74">
        <v>0</v>
      </c>
      <c r="I48" s="74">
        <v>0</v>
      </c>
      <c r="J48" s="74">
        <f>J49</f>
        <v>67</v>
      </c>
      <c r="K48" s="74">
        <f>K49</f>
        <v>67</v>
      </c>
      <c r="L48" s="75">
        <f>L49</f>
        <v>67</v>
      </c>
      <c r="M48" s="101">
        <f t="shared" si="17"/>
        <v>0</v>
      </c>
    </row>
    <row r="49" spans="1:13" ht="15.75" hidden="1">
      <c r="A49" s="23"/>
      <c r="B49" s="4" t="s">
        <v>116</v>
      </c>
      <c r="C49" s="8" t="s">
        <v>4</v>
      </c>
      <c r="D49" s="8" t="s">
        <v>20</v>
      </c>
      <c r="E49" s="14" t="s">
        <v>238</v>
      </c>
      <c r="F49" s="8"/>
      <c r="G49" s="73">
        <v>0</v>
      </c>
      <c r="H49" s="74">
        <v>0</v>
      </c>
      <c r="I49" s="74">
        <v>0</v>
      </c>
      <c r="J49" s="74">
        <f>J50+J51</f>
        <v>67</v>
      </c>
      <c r="K49" s="74">
        <f>K50+K51</f>
        <v>67</v>
      </c>
      <c r="L49" s="75">
        <f>L50+L51</f>
        <v>67</v>
      </c>
      <c r="M49" s="101">
        <f t="shared" si="17"/>
        <v>0</v>
      </c>
    </row>
    <row r="50" spans="1:13" ht="36" customHeight="1" hidden="1">
      <c r="A50" s="23"/>
      <c r="B50" s="53" t="s">
        <v>254</v>
      </c>
      <c r="C50" s="8" t="s">
        <v>4</v>
      </c>
      <c r="D50" s="8" t="s">
        <v>20</v>
      </c>
      <c r="E50" s="125" t="s">
        <v>239</v>
      </c>
      <c r="F50" s="8" t="s">
        <v>14</v>
      </c>
      <c r="G50" s="73">
        <v>0</v>
      </c>
      <c r="H50" s="74">
        <v>0</v>
      </c>
      <c r="I50" s="74">
        <v>0</v>
      </c>
      <c r="J50" s="49">
        <v>0</v>
      </c>
      <c r="K50" s="49">
        <v>0</v>
      </c>
      <c r="L50" s="56">
        <v>0</v>
      </c>
      <c r="M50" s="101">
        <f t="shared" si="17"/>
        <v>0</v>
      </c>
    </row>
    <row r="51" spans="1:13" ht="36" customHeight="1" hidden="1">
      <c r="A51" s="23"/>
      <c r="B51" s="53" t="s">
        <v>253</v>
      </c>
      <c r="C51" s="8" t="s">
        <v>4</v>
      </c>
      <c r="D51" s="8" t="s">
        <v>20</v>
      </c>
      <c r="E51" s="125" t="s">
        <v>255</v>
      </c>
      <c r="F51" s="8" t="s">
        <v>14</v>
      </c>
      <c r="G51" s="73">
        <v>0</v>
      </c>
      <c r="H51" s="74">
        <v>0</v>
      </c>
      <c r="I51" s="74">
        <v>0</v>
      </c>
      <c r="J51" s="49">
        <f>67</f>
        <v>67</v>
      </c>
      <c r="K51" s="49">
        <f>67</f>
        <v>67</v>
      </c>
      <c r="L51" s="81">
        <f>67</f>
        <v>67</v>
      </c>
      <c r="M51" s="101">
        <f t="shared" si="17"/>
        <v>0</v>
      </c>
    </row>
    <row r="52" spans="1:13" ht="15.75" hidden="1">
      <c r="A52" s="23"/>
      <c r="B52" s="34" t="s">
        <v>21</v>
      </c>
      <c r="C52" s="63" t="s">
        <v>5</v>
      </c>
      <c r="D52" s="63"/>
      <c r="E52" s="14"/>
      <c r="F52" s="8"/>
      <c r="G52" s="69">
        <f aca="true" t="shared" si="18" ref="G52:L53">G53</f>
        <v>512.2</v>
      </c>
      <c r="H52" s="78">
        <f t="shared" si="18"/>
        <v>512.2</v>
      </c>
      <c r="I52" s="67">
        <f t="shared" si="18"/>
        <v>512.2</v>
      </c>
      <c r="J52" s="67">
        <f t="shared" si="18"/>
        <v>555.1</v>
      </c>
      <c r="K52" s="67">
        <f t="shared" si="18"/>
        <v>555.1</v>
      </c>
      <c r="L52" s="71">
        <f t="shared" si="18"/>
        <v>555.1</v>
      </c>
      <c r="M52" s="101">
        <f t="shared" si="17"/>
        <v>0</v>
      </c>
    </row>
    <row r="53" spans="1:13" ht="17.25" customHeight="1" hidden="1">
      <c r="A53" s="23"/>
      <c r="B53" s="34" t="s">
        <v>22</v>
      </c>
      <c r="C53" s="63" t="s">
        <v>5</v>
      </c>
      <c r="D53" s="63" t="s">
        <v>9</v>
      </c>
      <c r="E53" s="64"/>
      <c r="F53" s="63"/>
      <c r="G53" s="69">
        <f t="shared" si="18"/>
        <v>512.2</v>
      </c>
      <c r="H53" s="78">
        <f t="shared" si="18"/>
        <v>512.2</v>
      </c>
      <c r="I53" s="78">
        <f t="shared" si="18"/>
        <v>512.2</v>
      </c>
      <c r="J53" s="78">
        <f t="shared" si="18"/>
        <v>555.1</v>
      </c>
      <c r="K53" s="78">
        <f t="shared" si="18"/>
        <v>555.1</v>
      </c>
      <c r="L53" s="68">
        <f t="shared" si="18"/>
        <v>555.1</v>
      </c>
      <c r="M53" s="101">
        <f t="shared" si="17"/>
        <v>0</v>
      </c>
    </row>
    <row r="54" spans="1:13" ht="1.5" customHeight="1" hidden="1">
      <c r="A54" s="23"/>
      <c r="B54" s="4" t="s">
        <v>54</v>
      </c>
      <c r="C54" s="8" t="s">
        <v>5</v>
      </c>
      <c r="D54" s="8" t="s">
        <v>9</v>
      </c>
      <c r="E54" s="14" t="s">
        <v>11</v>
      </c>
      <c r="F54" s="8"/>
      <c r="G54" s="25">
        <f aca="true" t="shared" si="19" ref="G54:L54">G56+G57</f>
        <v>512.2</v>
      </c>
      <c r="H54" s="49">
        <f t="shared" si="19"/>
        <v>512.2</v>
      </c>
      <c r="I54" s="49">
        <f t="shared" si="19"/>
        <v>512.2</v>
      </c>
      <c r="J54" s="49">
        <f t="shared" si="19"/>
        <v>555.1</v>
      </c>
      <c r="K54" s="49">
        <f t="shared" si="19"/>
        <v>555.1</v>
      </c>
      <c r="L54" s="56">
        <f t="shared" si="19"/>
        <v>555.1</v>
      </c>
      <c r="M54" s="101">
        <f t="shared" si="17"/>
        <v>0</v>
      </c>
    </row>
    <row r="55" spans="1:13" ht="15.75" hidden="1">
      <c r="A55" s="23"/>
      <c r="B55" s="4" t="s">
        <v>116</v>
      </c>
      <c r="C55" s="8" t="s">
        <v>5</v>
      </c>
      <c r="D55" s="8" t="s">
        <v>9</v>
      </c>
      <c r="E55" s="14" t="s">
        <v>12</v>
      </c>
      <c r="F55" s="8"/>
      <c r="G55" s="25">
        <f aca="true" t="shared" si="20" ref="G55:L55">G56+G57</f>
        <v>512.2</v>
      </c>
      <c r="H55" s="49">
        <f t="shared" si="20"/>
        <v>512.2</v>
      </c>
      <c r="I55" s="49">
        <f t="shared" si="20"/>
        <v>512.2</v>
      </c>
      <c r="J55" s="49">
        <f t="shared" si="20"/>
        <v>555.1</v>
      </c>
      <c r="K55" s="49">
        <f t="shared" si="20"/>
        <v>555.1</v>
      </c>
      <c r="L55" s="56">
        <f t="shared" si="20"/>
        <v>555.1</v>
      </c>
      <c r="M55" s="101">
        <f t="shared" si="17"/>
        <v>0</v>
      </c>
    </row>
    <row r="56" spans="1:13" ht="135" customHeight="1" hidden="1">
      <c r="A56" s="23"/>
      <c r="B56" s="19" t="s">
        <v>63</v>
      </c>
      <c r="C56" s="8" t="s">
        <v>5</v>
      </c>
      <c r="D56" s="8" t="s">
        <v>9</v>
      </c>
      <c r="E56" s="14" t="s">
        <v>23</v>
      </c>
      <c r="F56" s="8" t="s">
        <v>8</v>
      </c>
      <c r="G56" s="73">
        <v>484.1</v>
      </c>
      <c r="H56" s="74">
        <v>484.1</v>
      </c>
      <c r="I56" s="74">
        <v>484.1</v>
      </c>
      <c r="J56" s="74">
        <f>484.1+15.8+27.1</f>
        <v>527</v>
      </c>
      <c r="K56" s="74">
        <f>484.1+15.8+27.1</f>
        <v>527</v>
      </c>
      <c r="L56" s="75">
        <f>484.1+15.8+27.1</f>
        <v>527</v>
      </c>
      <c r="M56" s="101">
        <f t="shared" si="17"/>
        <v>0</v>
      </c>
    </row>
    <row r="57" spans="1:13" ht="3.75" customHeight="1" hidden="1">
      <c r="A57" s="23"/>
      <c r="B57" s="19" t="s">
        <v>262</v>
      </c>
      <c r="C57" s="8" t="s">
        <v>5</v>
      </c>
      <c r="D57" s="8" t="s">
        <v>9</v>
      </c>
      <c r="E57" s="14" t="s">
        <v>23</v>
      </c>
      <c r="F57" s="8" t="s">
        <v>14</v>
      </c>
      <c r="G57" s="73">
        <v>28.1</v>
      </c>
      <c r="H57" s="74">
        <v>28.1</v>
      </c>
      <c r="I57" s="74">
        <v>28.1</v>
      </c>
      <c r="J57" s="74">
        <v>28.1</v>
      </c>
      <c r="K57" s="74">
        <v>28.1</v>
      </c>
      <c r="L57" s="75">
        <v>28.1</v>
      </c>
      <c r="M57" s="101">
        <f t="shared" si="17"/>
        <v>0</v>
      </c>
    </row>
    <row r="58" spans="1:13" ht="33.75" customHeight="1">
      <c r="A58" s="23"/>
      <c r="B58" s="34" t="s">
        <v>24</v>
      </c>
      <c r="C58" s="63" t="s">
        <v>9</v>
      </c>
      <c r="D58" s="63"/>
      <c r="E58" s="64"/>
      <c r="F58" s="63"/>
      <c r="G58" s="69">
        <f aca="true" t="shared" si="21" ref="G58:L58">G59+G66</f>
        <v>814.12</v>
      </c>
      <c r="H58" s="78">
        <f t="shared" si="21"/>
        <v>814.12</v>
      </c>
      <c r="I58" s="67">
        <f t="shared" si="21"/>
        <v>814.12</v>
      </c>
      <c r="J58" s="67">
        <f t="shared" si="21"/>
        <v>908.52</v>
      </c>
      <c r="K58" s="67">
        <f t="shared" si="21"/>
        <v>908.52</v>
      </c>
      <c r="L58" s="126">
        <f t="shared" si="21"/>
        <v>860.93</v>
      </c>
      <c r="M58" s="87">
        <f t="shared" si="17"/>
        <v>-47.59000000000003</v>
      </c>
    </row>
    <row r="59" spans="1:13" ht="69" customHeight="1">
      <c r="A59" s="23"/>
      <c r="B59" s="34" t="s">
        <v>26</v>
      </c>
      <c r="C59" s="63" t="s">
        <v>9</v>
      </c>
      <c r="D59" s="63" t="s">
        <v>25</v>
      </c>
      <c r="E59" s="64"/>
      <c r="F59" s="63"/>
      <c r="G59" s="69">
        <f aca="true" t="shared" si="22" ref="G59:L59">G60+G63</f>
        <v>812.12</v>
      </c>
      <c r="H59" s="78">
        <f t="shared" si="22"/>
        <v>812.12</v>
      </c>
      <c r="I59" s="78">
        <f t="shared" si="22"/>
        <v>812.12</v>
      </c>
      <c r="J59" s="78">
        <f t="shared" si="22"/>
        <v>906.52</v>
      </c>
      <c r="K59" s="78">
        <f t="shared" si="22"/>
        <v>906.52</v>
      </c>
      <c r="L59" s="76">
        <f t="shared" si="22"/>
        <v>858.93</v>
      </c>
      <c r="M59" s="87">
        <f>M60</f>
        <v>-47.59</v>
      </c>
    </row>
    <row r="60" spans="1:13" ht="63">
      <c r="A60" s="23"/>
      <c r="B60" s="4" t="s">
        <v>263</v>
      </c>
      <c r="C60" s="8" t="s">
        <v>9</v>
      </c>
      <c r="D60" s="8" t="s">
        <v>25</v>
      </c>
      <c r="E60" s="14" t="s">
        <v>10</v>
      </c>
      <c r="F60" s="8"/>
      <c r="G60" s="25">
        <f aca="true" t="shared" si="23" ref="G60:L60">G62</f>
        <v>60.09</v>
      </c>
      <c r="H60" s="49">
        <f t="shared" si="23"/>
        <v>60.09</v>
      </c>
      <c r="I60" s="49">
        <f t="shared" si="23"/>
        <v>60.09</v>
      </c>
      <c r="J60" s="49">
        <f t="shared" si="23"/>
        <v>154.49</v>
      </c>
      <c r="K60" s="49">
        <f t="shared" si="23"/>
        <v>154.49</v>
      </c>
      <c r="L60" s="108">
        <f t="shared" si="23"/>
        <v>106.9</v>
      </c>
      <c r="M60" s="101">
        <f>M61</f>
        <v>-47.59</v>
      </c>
    </row>
    <row r="61" spans="1:13" ht="36.75" customHeight="1">
      <c r="A61" s="23"/>
      <c r="B61" s="4" t="s">
        <v>305</v>
      </c>
      <c r="C61" s="8" t="s">
        <v>9</v>
      </c>
      <c r="D61" s="8" t="s">
        <v>25</v>
      </c>
      <c r="E61" s="14" t="s">
        <v>111</v>
      </c>
      <c r="F61" s="8"/>
      <c r="G61" s="25">
        <f aca="true" t="shared" si="24" ref="G61:L61">G62</f>
        <v>60.09</v>
      </c>
      <c r="H61" s="49">
        <f t="shared" si="24"/>
        <v>60.09</v>
      </c>
      <c r="I61" s="49">
        <f t="shared" si="24"/>
        <v>60.09</v>
      </c>
      <c r="J61" s="49">
        <f t="shared" si="24"/>
        <v>154.49</v>
      </c>
      <c r="K61" s="49">
        <f t="shared" si="24"/>
        <v>154.49</v>
      </c>
      <c r="L61" s="56">
        <f t="shared" si="24"/>
        <v>106.9</v>
      </c>
      <c r="M61" s="101">
        <f>M62</f>
        <v>-47.59</v>
      </c>
    </row>
    <row r="62" spans="1:13" ht="35.25" customHeight="1">
      <c r="A62" s="23"/>
      <c r="B62" s="5" t="s">
        <v>264</v>
      </c>
      <c r="C62" s="8" t="s">
        <v>9</v>
      </c>
      <c r="D62" s="8" t="s">
        <v>25</v>
      </c>
      <c r="E62" s="14" t="s">
        <v>112</v>
      </c>
      <c r="F62" s="8" t="s">
        <v>14</v>
      </c>
      <c r="G62" s="25">
        <v>60.09</v>
      </c>
      <c r="H62" s="49">
        <v>60.09</v>
      </c>
      <c r="I62" s="49">
        <v>60.09</v>
      </c>
      <c r="J62" s="49">
        <f>60.09-5.6+100</f>
        <v>154.49</v>
      </c>
      <c r="K62" s="49">
        <f>60.09-5.6+100</f>
        <v>154.49</v>
      </c>
      <c r="L62" s="56">
        <f>60.09-5.6+100-46.49-1.1</f>
        <v>106.9</v>
      </c>
      <c r="M62" s="101">
        <v>-47.59</v>
      </c>
    </row>
    <row r="63" spans="1:13" ht="15.75" hidden="1">
      <c r="A63" s="23"/>
      <c r="B63" s="4" t="s">
        <v>62</v>
      </c>
      <c r="C63" s="8" t="s">
        <v>9</v>
      </c>
      <c r="D63" s="8" t="s">
        <v>25</v>
      </c>
      <c r="E63" s="14" t="s">
        <v>6</v>
      </c>
      <c r="F63" s="8"/>
      <c r="G63" s="25">
        <f aca="true" t="shared" si="25" ref="G63:L64">G64</f>
        <v>752.03</v>
      </c>
      <c r="H63" s="49">
        <f t="shared" si="25"/>
        <v>752.03</v>
      </c>
      <c r="I63" s="49">
        <f t="shared" si="25"/>
        <v>752.03</v>
      </c>
      <c r="J63" s="49">
        <f t="shared" si="25"/>
        <v>752.03</v>
      </c>
      <c r="K63" s="49">
        <f t="shared" si="25"/>
        <v>752.03</v>
      </c>
      <c r="L63" s="108">
        <f t="shared" si="25"/>
        <v>752.03</v>
      </c>
      <c r="M63" s="101">
        <f aca="true" t="shared" si="26" ref="M63:M69">L63-K63</f>
        <v>0</v>
      </c>
    </row>
    <row r="64" spans="1:13" ht="15.75" hidden="1">
      <c r="A64" s="23"/>
      <c r="B64" s="4" t="s">
        <v>116</v>
      </c>
      <c r="C64" s="8" t="s">
        <v>9</v>
      </c>
      <c r="D64" s="8" t="s">
        <v>25</v>
      </c>
      <c r="E64" s="14" t="s">
        <v>12</v>
      </c>
      <c r="F64" s="8"/>
      <c r="G64" s="25">
        <f t="shared" si="25"/>
        <v>752.03</v>
      </c>
      <c r="H64" s="49">
        <f t="shared" si="25"/>
        <v>752.03</v>
      </c>
      <c r="I64" s="49">
        <f t="shared" si="25"/>
        <v>752.03</v>
      </c>
      <c r="J64" s="49">
        <f t="shared" si="25"/>
        <v>752.03</v>
      </c>
      <c r="K64" s="49">
        <f t="shared" si="25"/>
        <v>752.03</v>
      </c>
      <c r="L64" s="56">
        <f t="shared" si="25"/>
        <v>752.03</v>
      </c>
      <c r="M64" s="101">
        <f t="shared" si="26"/>
        <v>0</v>
      </c>
    </row>
    <row r="65" spans="1:13" ht="70.5" customHeight="1" hidden="1">
      <c r="A65" s="23"/>
      <c r="B65" s="5" t="s">
        <v>64</v>
      </c>
      <c r="C65" s="8" t="s">
        <v>9</v>
      </c>
      <c r="D65" s="8" t="s">
        <v>25</v>
      </c>
      <c r="E65" s="14" t="s">
        <v>91</v>
      </c>
      <c r="F65" s="127" t="s">
        <v>46</v>
      </c>
      <c r="G65" s="73">
        <v>752.03</v>
      </c>
      <c r="H65" s="74">
        <v>752.03</v>
      </c>
      <c r="I65" s="74">
        <v>752.03</v>
      </c>
      <c r="J65" s="74">
        <v>752.03</v>
      </c>
      <c r="K65" s="74">
        <v>752.03</v>
      </c>
      <c r="L65" s="75">
        <v>752.03</v>
      </c>
      <c r="M65" s="101">
        <f t="shared" si="26"/>
        <v>0</v>
      </c>
    </row>
    <row r="66" spans="1:13" ht="51" customHeight="1" hidden="1">
      <c r="A66" s="23"/>
      <c r="B66" s="36" t="s">
        <v>51</v>
      </c>
      <c r="C66" s="63" t="s">
        <v>9</v>
      </c>
      <c r="D66" s="63" t="s">
        <v>52</v>
      </c>
      <c r="E66" s="64"/>
      <c r="F66" s="63"/>
      <c r="G66" s="69">
        <f aca="true" t="shared" si="27" ref="G66:L66">G67</f>
        <v>2</v>
      </c>
      <c r="H66" s="78">
        <f t="shared" si="27"/>
        <v>2</v>
      </c>
      <c r="I66" s="78">
        <f t="shared" si="27"/>
        <v>2</v>
      </c>
      <c r="J66" s="78">
        <f t="shared" si="27"/>
        <v>2</v>
      </c>
      <c r="K66" s="78">
        <f t="shared" si="27"/>
        <v>2</v>
      </c>
      <c r="L66" s="71">
        <f t="shared" si="27"/>
        <v>2</v>
      </c>
      <c r="M66" s="101">
        <f t="shared" si="26"/>
        <v>0</v>
      </c>
    </row>
    <row r="67" spans="1:13" ht="78.75" hidden="1">
      <c r="A67" s="23"/>
      <c r="B67" s="9" t="s">
        <v>265</v>
      </c>
      <c r="C67" s="7" t="s">
        <v>9</v>
      </c>
      <c r="D67" s="7" t="s">
        <v>52</v>
      </c>
      <c r="E67" s="9" t="s">
        <v>122</v>
      </c>
      <c r="F67" s="8"/>
      <c r="G67" s="25">
        <f aca="true" t="shared" si="28" ref="G67:L67">G69</f>
        <v>2</v>
      </c>
      <c r="H67" s="49">
        <f t="shared" si="28"/>
        <v>2</v>
      </c>
      <c r="I67" s="49">
        <f t="shared" si="28"/>
        <v>2</v>
      </c>
      <c r="J67" s="49">
        <f t="shared" si="28"/>
        <v>2</v>
      </c>
      <c r="K67" s="49">
        <f t="shared" si="28"/>
        <v>2</v>
      </c>
      <c r="L67" s="56">
        <f t="shared" si="28"/>
        <v>2</v>
      </c>
      <c r="M67" s="101">
        <f t="shared" si="26"/>
        <v>0</v>
      </c>
    </row>
    <row r="68" spans="1:13" ht="47.25" hidden="1">
      <c r="A68" s="23"/>
      <c r="B68" s="37" t="s">
        <v>114</v>
      </c>
      <c r="C68" s="7" t="s">
        <v>9</v>
      </c>
      <c r="D68" s="7" t="s">
        <v>52</v>
      </c>
      <c r="E68" s="9" t="s">
        <v>113</v>
      </c>
      <c r="F68" s="8"/>
      <c r="G68" s="25">
        <f aca="true" t="shared" si="29" ref="G68:L68">G69</f>
        <v>2</v>
      </c>
      <c r="H68" s="49">
        <f t="shared" si="29"/>
        <v>2</v>
      </c>
      <c r="I68" s="49">
        <f t="shared" si="29"/>
        <v>2</v>
      </c>
      <c r="J68" s="49">
        <f t="shared" si="29"/>
        <v>2</v>
      </c>
      <c r="K68" s="49">
        <f t="shared" si="29"/>
        <v>2</v>
      </c>
      <c r="L68" s="56">
        <f t="shared" si="29"/>
        <v>2</v>
      </c>
      <c r="M68" s="101">
        <f t="shared" si="26"/>
        <v>0</v>
      </c>
    </row>
    <row r="69" spans="1:13" ht="39" customHeight="1" hidden="1">
      <c r="A69" s="23"/>
      <c r="B69" s="9" t="s">
        <v>254</v>
      </c>
      <c r="C69" s="7" t="s">
        <v>9</v>
      </c>
      <c r="D69" s="7" t="s">
        <v>52</v>
      </c>
      <c r="E69" s="9" t="s">
        <v>115</v>
      </c>
      <c r="F69" s="8" t="s">
        <v>14</v>
      </c>
      <c r="G69" s="25">
        <v>2</v>
      </c>
      <c r="H69" s="49">
        <v>2</v>
      </c>
      <c r="I69" s="49">
        <v>2</v>
      </c>
      <c r="J69" s="49">
        <v>2</v>
      </c>
      <c r="K69" s="49">
        <v>2</v>
      </c>
      <c r="L69" s="56">
        <v>2</v>
      </c>
      <c r="M69" s="101">
        <f t="shared" si="26"/>
        <v>0</v>
      </c>
    </row>
    <row r="70" spans="1:13" ht="15.75">
      <c r="A70" s="23"/>
      <c r="B70" s="36" t="s">
        <v>50</v>
      </c>
      <c r="C70" s="63" t="s">
        <v>10</v>
      </c>
      <c r="D70" s="63"/>
      <c r="E70" s="64"/>
      <c r="F70" s="63"/>
      <c r="G70" s="69">
        <f aca="true" t="shared" si="30" ref="G70:L70">G71+G75+G79+G99</f>
        <v>11866.2</v>
      </c>
      <c r="H70" s="78">
        <f t="shared" si="30"/>
        <v>15450.297300000002</v>
      </c>
      <c r="I70" s="71">
        <f t="shared" si="30"/>
        <v>11593.9973</v>
      </c>
      <c r="J70" s="128">
        <f t="shared" si="30"/>
        <v>27300.5973</v>
      </c>
      <c r="K70" s="128">
        <f t="shared" si="30"/>
        <v>27300.5973</v>
      </c>
      <c r="L70" s="71">
        <f t="shared" si="30"/>
        <v>26277.176910000002</v>
      </c>
      <c r="M70" s="87">
        <f>M71+M75+M79+M99</f>
        <v>-1023.42039</v>
      </c>
    </row>
    <row r="71" spans="1:13" ht="15.75">
      <c r="A71" s="23"/>
      <c r="B71" s="44" t="s">
        <v>78</v>
      </c>
      <c r="C71" s="63" t="s">
        <v>10</v>
      </c>
      <c r="D71" s="63" t="s">
        <v>4</v>
      </c>
      <c r="E71" s="64"/>
      <c r="F71" s="63"/>
      <c r="G71" s="65">
        <f aca="true" t="shared" si="31" ref="G71:L73">G72</f>
        <v>750</v>
      </c>
      <c r="H71" s="66">
        <f t="shared" si="31"/>
        <v>2525.3973</v>
      </c>
      <c r="I71" s="71">
        <f t="shared" si="31"/>
        <v>164.0972999999999</v>
      </c>
      <c r="J71" s="128">
        <f t="shared" si="31"/>
        <v>257.1972999999999</v>
      </c>
      <c r="K71" s="128">
        <f t="shared" si="31"/>
        <v>257.1972999999999</v>
      </c>
      <c r="L71" s="71">
        <f t="shared" si="31"/>
        <v>0</v>
      </c>
      <c r="M71" s="87">
        <f>M72</f>
        <v>-257.1973</v>
      </c>
    </row>
    <row r="72" spans="1:13" ht="15.75">
      <c r="A72" s="23"/>
      <c r="B72" s="5" t="s">
        <v>54</v>
      </c>
      <c r="C72" s="8" t="s">
        <v>10</v>
      </c>
      <c r="D72" s="8" t="s">
        <v>4</v>
      </c>
      <c r="E72" s="14" t="s">
        <v>6</v>
      </c>
      <c r="F72" s="63"/>
      <c r="G72" s="73">
        <f t="shared" si="31"/>
        <v>750</v>
      </c>
      <c r="H72" s="74">
        <f t="shared" si="31"/>
        <v>2525.3973</v>
      </c>
      <c r="I72" s="75">
        <f t="shared" si="31"/>
        <v>164.0972999999999</v>
      </c>
      <c r="J72" s="123">
        <f t="shared" si="31"/>
        <v>257.1972999999999</v>
      </c>
      <c r="K72" s="123">
        <f t="shared" si="31"/>
        <v>257.1972999999999</v>
      </c>
      <c r="L72" s="75">
        <f t="shared" si="31"/>
        <v>0</v>
      </c>
      <c r="M72" s="101">
        <f>M73</f>
        <v>-257.1973</v>
      </c>
    </row>
    <row r="73" spans="1:13" ht="15.75">
      <c r="A73" s="23"/>
      <c r="B73" s="4" t="s">
        <v>116</v>
      </c>
      <c r="C73" s="8" t="s">
        <v>10</v>
      </c>
      <c r="D73" s="8" t="s">
        <v>4</v>
      </c>
      <c r="E73" s="14" t="s">
        <v>12</v>
      </c>
      <c r="F73" s="63"/>
      <c r="G73" s="73">
        <f t="shared" si="31"/>
        <v>750</v>
      </c>
      <c r="H73" s="74">
        <f t="shared" si="31"/>
        <v>2525.3973</v>
      </c>
      <c r="I73" s="75">
        <f t="shared" si="31"/>
        <v>164.0972999999999</v>
      </c>
      <c r="J73" s="123">
        <f t="shared" si="31"/>
        <v>257.1972999999999</v>
      </c>
      <c r="K73" s="123">
        <f t="shared" si="31"/>
        <v>257.1972999999999</v>
      </c>
      <c r="L73" s="75">
        <f t="shared" si="31"/>
        <v>0</v>
      </c>
      <c r="M73" s="101">
        <f>M74</f>
        <v>-257.1973</v>
      </c>
    </row>
    <row r="74" spans="1:13" ht="68.25" customHeight="1">
      <c r="A74" s="23"/>
      <c r="B74" s="9" t="s">
        <v>210</v>
      </c>
      <c r="C74" s="8" t="s">
        <v>10</v>
      </c>
      <c r="D74" s="8" t="s">
        <v>4</v>
      </c>
      <c r="E74" s="14" t="s">
        <v>117</v>
      </c>
      <c r="F74" s="129" t="s">
        <v>15</v>
      </c>
      <c r="G74" s="73">
        <f>1000-250</f>
        <v>750</v>
      </c>
      <c r="H74" s="123">
        <f>1000-250+1775.3973</f>
        <v>2525.3973</v>
      </c>
      <c r="I74" s="123">
        <f>1000-250+1775.3973-2361.3</f>
        <v>164.0972999999999</v>
      </c>
      <c r="J74" s="123">
        <f>1000-250+1775.3973-2361.3+1000-906.9</f>
        <v>257.1972999999999</v>
      </c>
      <c r="K74" s="123">
        <f>1000-250+1775.3973-2361.3+1000-906.9</f>
        <v>257.1972999999999</v>
      </c>
      <c r="L74" s="75">
        <f>1000-250+1775.3973-2361.3+1000-906.9+600-55.66498-801.53232</f>
        <v>0</v>
      </c>
      <c r="M74" s="101">
        <v>-257.1973</v>
      </c>
    </row>
    <row r="75" spans="1:13" ht="26.25" customHeight="1">
      <c r="A75" s="23"/>
      <c r="B75" s="36" t="s">
        <v>53</v>
      </c>
      <c r="C75" s="63" t="s">
        <v>10</v>
      </c>
      <c r="D75" s="63" t="s">
        <v>32</v>
      </c>
      <c r="E75" s="64"/>
      <c r="F75" s="63"/>
      <c r="G75" s="69">
        <f aca="true" t="shared" si="32" ref="G75:L75">G76</f>
        <v>50</v>
      </c>
      <c r="H75" s="78">
        <f t="shared" si="32"/>
        <v>100</v>
      </c>
      <c r="I75" s="67">
        <f t="shared" si="32"/>
        <v>100</v>
      </c>
      <c r="J75" s="67">
        <f t="shared" si="32"/>
        <v>100</v>
      </c>
      <c r="K75" s="67">
        <f t="shared" si="32"/>
        <v>100</v>
      </c>
      <c r="L75" s="71">
        <f t="shared" si="32"/>
        <v>90</v>
      </c>
      <c r="M75" s="87">
        <f>M76</f>
        <v>-10</v>
      </c>
    </row>
    <row r="76" spans="1:13" ht="85.5" customHeight="1">
      <c r="A76" s="23"/>
      <c r="B76" s="4" t="s">
        <v>266</v>
      </c>
      <c r="C76" s="8" t="s">
        <v>10</v>
      </c>
      <c r="D76" s="8" t="s">
        <v>32</v>
      </c>
      <c r="E76" s="14" t="s">
        <v>121</v>
      </c>
      <c r="F76" s="8"/>
      <c r="G76" s="25">
        <f aca="true" t="shared" si="33" ref="G76:L76">G78</f>
        <v>50</v>
      </c>
      <c r="H76" s="49">
        <f t="shared" si="33"/>
        <v>100</v>
      </c>
      <c r="I76" s="49">
        <f t="shared" si="33"/>
        <v>100</v>
      </c>
      <c r="J76" s="49">
        <f t="shared" si="33"/>
        <v>100</v>
      </c>
      <c r="K76" s="49">
        <f t="shared" si="33"/>
        <v>100</v>
      </c>
      <c r="L76" s="56">
        <f t="shared" si="33"/>
        <v>90</v>
      </c>
      <c r="M76" s="101">
        <f>M77</f>
        <v>-10</v>
      </c>
    </row>
    <row r="77" spans="1:13" ht="39" customHeight="1">
      <c r="A77" s="23"/>
      <c r="B77" s="4" t="s">
        <v>89</v>
      </c>
      <c r="C77" s="8" t="s">
        <v>10</v>
      </c>
      <c r="D77" s="8" t="s">
        <v>32</v>
      </c>
      <c r="E77" s="14" t="s">
        <v>118</v>
      </c>
      <c r="F77" s="8"/>
      <c r="G77" s="25">
        <f aca="true" t="shared" si="34" ref="G77:L77">G78</f>
        <v>50</v>
      </c>
      <c r="H77" s="49">
        <f t="shared" si="34"/>
        <v>100</v>
      </c>
      <c r="I77" s="49">
        <f t="shared" si="34"/>
        <v>100</v>
      </c>
      <c r="J77" s="49">
        <f t="shared" si="34"/>
        <v>100</v>
      </c>
      <c r="K77" s="49">
        <f t="shared" si="34"/>
        <v>100</v>
      </c>
      <c r="L77" s="56">
        <f t="shared" si="34"/>
        <v>90</v>
      </c>
      <c r="M77" s="101">
        <f>M78</f>
        <v>-10</v>
      </c>
    </row>
    <row r="78" spans="1:13" ht="47.25">
      <c r="A78" s="23"/>
      <c r="B78" s="4" t="s">
        <v>267</v>
      </c>
      <c r="C78" s="8" t="s">
        <v>10</v>
      </c>
      <c r="D78" s="8" t="s">
        <v>32</v>
      </c>
      <c r="E78" s="14" t="s">
        <v>119</v>
      </c>
      <c r="F78" s="8" t="s">
        <v>14</v>
      </c>
      <c r="G78" s="25">
        <v>50</v>
      </c>
      <c r="H78" s="49">
        <f>50+50</f>
        <v>100</v>
      </c>
      <c r="I78" s="49">
        <f>50+50</f>
        <v>100</v>
      </c>
      <c r="J78" s="49">
        <f>50+50</f>
        <v>100</v>
      </c>
      <c r="K78" s="49">
        <f>50+50</f>
        <v>100</v>
      </c>
      <c r="L78" s="56">
        <f>50+50-10</f>
        <v>90</v>
      </c>
      <c r="M78" s="101">
        <v>-10</v>
      </c>
    </row>
    <row r="79" spans="1:13" ht="26.25" customHeight="1">
      <c r="A79" s="23"/>
      <c r="B79" s="34" t="s">
        <v>27</v>
      </c>
      <c r="C79" s="63" t="s">
        <v>10</v>
      </c>
      <c r="D79" s="63" t="s">
        <v>25</v>
      </c>
      <c r="E79" s="64"/>
      <c r="F79" s="63"/>
      <c r="G79" s="65">
        <f>G83+G94</f>
        <v>9900</v>
      </c>
      <c r="H79" s="66">
        <f>H83+H94</f>
        <v>11458.7</v>
      </c>
      <c r="I79" s="67">
        <f>I83+I94</f>
        <v>9958.7</v>
      </c>
      <c r="J79" s="67">
        <f>J83+J94</f>
        <v>25593.7</v>
      </c>
      <c r="K79" s="67">
        <f>K83+K94</f>
        <v>25593.7</v>
      </c>
      <c r="L79" s="68">
        <f>L83+L94+L80</f>
        <v>24911.70924</v>
      </c>
      <c r="M79" s="87">
        <f>M83+M94</f>
        <v>-681.99076</v>
      </c>
    </row>
    <row r="80" spans="1:13" ht="78.75" hidden="1">
      <c r="A80" s="23"/>
      <c r="B80" s="4" t="s">
        <v>303</v>
      </c>
      <c r="C80" s="8" t="s">
        <v>10</v>
      </c>
      <c r="D80" s="8" t="s">
        <v>25</v>
      </c>
      <c r="E80" s="14" t="s">
        <v>5</v>
      </c>
      <c r="F80" s="8"/>
      <c r="G80" s="73">
        <v>0</v>
      </c>
      <c r="H80" s="74">
        <v>0</v>
      </c>
      <c r="I80" s="80">
        <v>0</v>
      </c>
      <c r="J80" s="80">
        <v>0</v>
      </c>
      <c r="K80" s="80">
        <v>0</v>
      </c>
      <c r="L80" s="108">
        <f>L81</f>
        <v>0</v>
      </c>
      <c r="M80" s="101">
        <f>L80-K80</f>
        <v>0</v>
      </c>
    </row>
    <row r="81" spans="1:13" ht="54.75" customHeight="1" hidden="1">
      <c r="A81" s="23"/>
      <c r="B81" s="4" t="s">
        <v>304</v>
      </c>
      <c r="C81" s="8" t="s">
        <v>10</v>
      </c>
      <c r="D81" s="8" t="s">
        <v>25</v>
      </c>
      <c r="E81" s="14" t="s">
        <v>104</v>
      </c>
      <c r="F81" s="8"/>
      <c r="G81" s="73">
        <v>0</v>
      </c>
      <c r="H81" s="74">
        <v>0</v>
      </c>
      <c r="I81" s="80">
        <v>0</v>
      </c>
      <c r="J81" s="80">
        <v>0</v>
      </c>
      <c r="K81" s="80">
        <v>0</v>
      </c>
      <c r="L81" s="108">
        <f>L82</f>
        <v>0</v>
      </c>
      <c r="M81" s="101">
        <f>L81-K81</f>
        <v>0</v>
      </c>
    </row>
    <row r="82" spans="1:13" ht="8.25" customHeight="1" hidden="1">
      <c r="A82" s="23"/>
      <c r="B82" s="4" t="s">
        <v>260</v>
      </c>
      <c r="C82" s="8" t="s">
        <v>10</v>
      </c>
      <c r="D82" s="8" t="s">
        <v>25</v>
      </c>
      <c r="E82" s="14" t="s">
        <v>105</v>
      </c>
      <c r="F82" s="8" t="s">
        <v>14</v>
      </c>
      <c r="G82" s="73">
        <v>0</v>
      </c>
      <c r="H82" s="74">
        <v>0</v>
      </c>
      <c r="I82" s="80">
        <v>0</v>
      </c>
      <c r="J82" s="80">
        <v>0</v>
      </c>
      <c r="K82" s="80">
        <v>0</v>
      </c>
      <c r="L82" s="108">
        <f>100-85-15</f>
        <v>0</v>
      </c>
      <c r="M82" s="101">
        <f>L82-K82</f>
        <v>0</v>
      </c>
    </row>
    <row r="83" spans="1:13" ht="67.5" customHeight="1">
      <c r="A83" s="23"/>
      <c r="B83" s="38" t="s">
        <v>269</v>
      </c>
      <c r="C83" s="8" t="s">
        <v>10</v>
      </c>
      <c r="D83" s="8" t="s">
        <v>25</v>
      </c>
      <c r="E83" s="14" t="s">
        <v>120</v>
      </c>
      <c r="F83" s="8"/>
      <c r="G83" s="73">
        <f aca="true" t="shared" si="35" ref="G83:L83">G84+G90+G92</f>
        <v>9200</v>
      </c>
      <c r="H83" s="74">
        <f t="shared" si="35"/>
        <v>9285</v>
      </c>
      <c r="I83" s="74">
        <f t="shared" si="35"/>
        <v>7785</v>
      </c>
      <c r="J83" s="74">
        <f t="shared" si="35"/>
        <v>12925</v>
      </c>
      <c r="K83" s="74">
        <f t="shared" si="35"/>
        <v>12925</v>
      </c>
      <c r="L83" s="75">
        <f t="shared" si="35"/>
        <v>13367.166119999998</v>
      </c>
      <c r="M83" s="101">
        <f>M84+M90+M92</f>
        <v>442.16612</v>
      </c>
    </row>
    <row r="84" spans="1:13" ht="64.5" customHeight="1">
      <c r="A84" s="23"/>
      <c r="B84" s="27" t="s">
        <v>123</v>
      </c>
      <c r="C84" s="8" t="s">
        <v>10</v>
      </c>
      <c r="D84" s="8" t="s">
        <v>25</v>
      </c>
      <c r="E84" s="14" t="s">
        <v>124</v>
      </c>
      <c r="F84" s="8"/>
      <c r="G84" s="73">
        <f>G85+G88</f>
        <v>6000</v>
      </c>
      <c r="H84" s="74">
        <f>H85+H88+H87+H86</f>
        <v>6085</v>
      </c>
      <c r="I84" s="74">
        <f>I85+I88+I87+I89+I86</f>
        <v>4485</v>
      </c>
      <c r="J84" s="74">
        <f>J85+J88+J87+J89+J86</f>
        <v>5135</v>
      </c>
      <c r="K84" s="74">
        <f>K85+K88+K87+K89+K86</f>
        <v>5135</v>
      </c>
      <c r="L84" s="75">
        <f>L85+L88+L87+L89+L86</f>
        <v>5031.03118</v>
      </c>
      <c r="M84" s="101">
        <f>M85+M86+M88+M89</f>
        <v>-103.96882000000001</v>
      </c>
    </row>
    <row r="85" spans="1:13" ht="68.25" customHeight="1">
      <c r="A85" s="23"/>
      <c r="B85" s="32" t="s">
        <v>302</v>
      </c>
      <c r="C85" s="110" t="s">
        <v>10</v>
      </c>
      <c r="D85" s="110" t="s">
        <v>25</v>
      </c>
      <c r="E85" s="14" t="s">
        <v>125</v>
      </c>
      <c r="F85" s="8" t="s">
        <v>14</v>
      </c>
      <c r="G85" s="73">
        <v>1000</v>
      </c>
      <c r="H85" s="74">
        <f>1000</f>
        <v>1000</v>
      </c>
      <c r="I85" s="74">
        <f>1000-811.1</f>
        <v>188.89999999999998</v>
      </c>
      <c r="J85" s="74">
        <f>1000-811.1+500-380</f>
        <v>308.9</v>
      </c>
      <c r="K85" s="74">
        <f>1000-811.1+500-380</f>
        <v>308.9</v>
      </c>
      <c r="L85" s="75">
        <f>1000-811.1+500-380-136.67518</f>
        <v>172.22481999999997</v>
      </c>
      <c r="M85" s="101">
        <v>-136.67518</v>
      </c>
    </row>
    <row r="86" spans="1:13" ht="63.75" customHeight="1">
      <c r="A86" s="23"/>
      <c r="B86" s="32" t="s">
        <v>226</v>
      </c>
      <c r="C86" s="110" t="s">
        <v>10</v>
      </c>
      <c r="D86" s="110" t="s">
        <v>25</v>
      </c>
      <c r="E86" s="14" t="s">
        <v>125</v>
      </c>
      <c r="F86" s="8" t="s">
        <v>15</v>
      </c>
      <c r="G86" s="73">
        <v>0</v>
      </c>
      <c r="H86" s="74">
        <v>85</v>
      </c>
      <c r="I86" s="74">
        <f>85+0.1</f>
        <v>85.1</v>
      </c>
      <c r="J86" s="74">
        <f>85+0.1+150</f>
        <v>235.1</v>
      </c>
      <c r="K86" s="74">
        <f>85+0.1+150</f>
        <v>235.1</v>
      </c>
      <c r="L86" s="75">
        <f>85+0.1+150+55.66498-0.00362</f>
        <v>290.76135999999997</v>
      </c>
      <c r="M86" s="101">
        <v>55.66136</v>
      </c>
    </row>
    <row r="87" spans="1:13" ht="78.75" customHeight="1" hidden="1">
      <c r="A87" s="23"/>
      <c r="B87" s="32" t="s">
        <v>209</v>
      </c>
      <c r="C87" s="110" t="s">
        <v>10</v>
      </c>
      <c r="D87" s="110" t="s">
        <v>25</v>
      </c>
      <c r="E87" s="14" t="s">
        <v>125</v>
      </c>
      <c r="F87" s="8" t="s">
        <v>15</v>
      </c>
      <c r="G87" s="73">
        <v>0</v>
      </c>
      <c r="H87" s="74">
        <v>0</v>
      </c>
      <c r="I87" s="74">
        <v>0</v>
      </c>
      <c r="J87" s="130">
        <v>0</v>
      </c>
      <c r="K87" s="130">
        <v>0</v>
      </c>
      <c r="L87" s="131">
        <v>0</v>
      </c>
      <c r="M87" s="101">
        <f>L87-K87</f>
        <v>0</v>
      </c>
    </row>
    <row r="88" spans="1:15" ht="78.75">
      <c r="A88" s="23"/>
      <c r="B88" s="32" t="s">
        <v>270</v>
      </c>
      <c r="C88" s="8" t="s">
        <v>10</v>
      </c>
      <c r="D88" s="8" t="s">
        <v>25</v>
      </c>
      <c r="E88" s="72" t="s">
        <v>225</v>
      </c>
      <c r="F88" s="8" t="s">
        <v>14</v>
      </c>
      <c r="G88" s="73">
        <v>5000</v>
      </c>
      <c r="H88" s="74">
        <v>5000</v>
      </c>
      <c r="I88" s="74">
        <f>5000-1000</f>
        <v>4000</v>
      </c>
      <c r="J88" s="74">
        <f>5000-1000</f>
        <v>4000</v>
      </c>
      <c r="K88" s="74">
        <f>5000-1000</f>
        <v>4000</v>
      </c>
      <c r="L88" s="75">
        <f>5000-1000-19.97124</f>
        <v>3980.02876</v>
      </c>
      <c r="M88" s="101">
        <v>-19.97124</v>
      </c>
      <c r="N88" s="60"/>
      <c r="O88" s="61"/>
    </row>
    <row r="89" spans="1:13" ht="78.75">
      <c r="A89" s="23"/>
      <c r="B89" s="32" t="s">
        <v>271</v>
      </c>
      <c r="C89" s="8" t="s">
        <v>10</v>
      </c>
      <c r="D89" s="8" t="s">
        <v>25</v>
      </c>
      <c r="E89" s="72" t="s">
        <v>126</v>
      </c>
      <c r="F89" s="8" t="s">
        <v>14</v>
      </c>
      <c r="G89" s="73">
        <v>0</v>
      </c>
      <c r="H89" s="74">
        <v>0</v>
      </c>
      <c r="I89" s="74">
        <v>211</v>
      </c>
      <c r="J89" s="74">
        <f>211+380</f>
        <v>591</v>
      </c>
      <c r="K89" s="74">
        <f>211+380</f>
        <v>591</v>
      </c>
      <c r="L89" s="75">
        <f>211+380-1.9-1.08376</f>
        <v>588.01624</v>
      </c>
      <c r="M89" s="101">
        <v>-2.98376</v>
      </c>
    </row>
    <row r="90" spans="1:13" ht="66.75" customHeight="1">
      <c r="A90" s="23"/>
      <c r="B90" s="27" t="s">
        <v>127</v>
      </c>
      <c r="C90" s="110" t="s">
        <v>10</v>
      </c>
      <c r="D90" s="110" t="s">
        <v>25</v>
      </c>
      <c r="E90" s="14" t="s">
        <v>128</v>
      </c>
      <c r="F90" s="8"/>
      <c r="G90" s="73">
        <f aca="true" t="shared" si="36" ref="G90:L90">G91</f>
        <v>3000</v>
      </c>
      <c r="H90" s="74">
        <f t="shared" si="36"/>
        <v>3000</v>
      </c>
      <c r="I90" s="74">
        <f t="shared" si="36"/>
        <v>3000</v>
      </c>
      <c r="J90" s="74">
        <f t="shared" si="36"/>
        <v>7190</v>
      </c>
      <c r="K90" s="74">
        <f t="shared" si="36"/>
        <v>7190</v>
      </c>
      <c r="L90" s="75">
        <f t="shared" si="36"/>
        <v>7988.134939999999</v>
      </c>
      <c r="M90" s="101">
        <f>M91</f>
        <v>798.13494</v>
      </c>
    </row>
    <row r="91" spans="1:13" ht="70.5" customHeight="1">
      <c r="A91" s="23"/>
      <c r="B91" s="32" t="s">
        <v>272</v>
      </c>
      <c r="C91" s="110" t="s">
        <v>10</v>
      </c>
      <c r="D91" s="110" t="s">
        <v>25</v>
      </c>
      <c r="E91" s="14" t="s">
        <v>129</v>
      </c>
      <c r="F91" s="8" t="s">
        <v>14</v>
      </c>
      <c r="G91" s="73">
        <v>3000</v>
      </c>
      <c r="H91" s="74">
        <v>3000</v>
      </c>
      <c r="I91" s="74">
        <v>3000</v>
      </c>
      <c r="J91" s="74">
        <f>3000+2900+505.3+340.2+300-105.5+250</f>
        <v>7190</v>
      </c>
      <c r="K91" s="74">
        <f>3000+2900+505.3+340.2+300-105.5+250</f>
        <v>7190</v>
      </c>
      <c r="L91" s="75">
        <f>3000+2900+505.3+340.2+300-105.5+250+50+1114.72095+300-370.27549-0.1-296.21052</f>
        <v>7988.134939999999</v>
      </c>
      <c r="M91" s="101">
        <v>798.13494</v>
      </c>
    </row>
    <row r="92" spans="1:13" ht="34.5" customHeight="1">
      <c r="A92" s="23"/>
      <c r="B92" s="38" t="s">
        <v>65</v>
      </c>
      <c r="C92" s="110" t="s">
        <v>10</v>
      </c>
      <c r="D92" s="110" t="s">
        <v>25</v>
      </c>
      <c r="E92" s="14" t="s">
        <v>130</v>
      </c>
      <c r="F92" s="8"/>
      <c r="G92" s="73">
        <f aca="true" t="shared" si="37" ref="G92:L92">G93</f>
        <v>200</v>
      </c>
      <c r="H92" s="74">
        <f t="shared" si="37"/>
        <v>200</v>
      </c>
      <c r="I92" s="74">
        <f t="shared" si="37"/>
        <v>300</v>
      </c>
      <c r="J92" s="74">
        <f t="shared" si="37"/>
        <v>600</v>
      </c>
      <c r="K92" s="74">
        <f t="shared" si="37"/>
        <v>600</v>
      </c>
      <c r="L92" s="75">
        <f t="shared" si="37"/>
        <v>348</v>
      </c>
      <c r="M92" s="101">
        <f>M93</f>
        <v>-252</v>
      </c>
    </row>
    <row r="93" spans="1:13" ht="48.75" customHeight="1">
      <c r="A93" s="23"/>
      <c r="B93" s="19" t="s">
        <v>273</v>
      </c>
      <c r="C93" s="110" t="s">
        <v>10</v>
      </c>
      <c r="D93" s="110" t="s">
        <v>25</v>
      </c>
      <c r="E93" s="14" t="s">
        <v>131</v>
      </c>
      <c r="F93" s="8" t="s">
        <v>14</v>
      </c>
      <c r="G93" s="73">
        <v>200</v>
      </c>
      <c r="H93" s="74">
        <v>200</v>
      </c>
      <c r="I93" s="74">
        <f>200+100</f>
        <v>300</v>
      </c>
      <c r="J93" s="74">
        <f>200+100+300</f>
        <v>600</v>
      </c>
      <c r="K93" s="74">
        <f>200+100+300</f>
        <v>600</v>
      </c>
      <c r="L93" s="75">
        <f>200+100+300-300+48</f>
        <v>348</v>
      </c>
      <c r="M93" s="101">
        <v>-252</v>
      </c>
    </row>
    <row r="94" spans="1:13" ht="15.75">
      <c r="A94" s="23"/>
      <c r="B94" s="4" t="s">
        <v>57</v>
      </c>
      <c r="C94" s="8" t="s">
        <v>10</v>
      </c>
      <c r="D94" s="8" t="s">
        <v>25</v>
      </c>
      <c r="E94" s="14" t="s">
        <v>6</v>
      </c>
      <c r="F94" s="8"/>
      <c r="G94" s="25">
        <f aca="true" t="shared" si="38" ref="G94:K95">G95</f>
        <v>700</v>
      </c>
      <c r="H94" s="49">
        <f t="shared" si="38"/>
        <v>2173.7</v>
      </c>
      <c r="I94" s="49">
        <f t="shared" si="38"/>
        <v>2173.7</v>
      </c>
      <c r="J94" s="49">
        <f t="shared" si="38"/>
        <v>12668.7</v>
      </c>
      <c r="K94" s="49">
        <f t="shared" si="38"/>
        <v>12668.7</v>
      </c>
      <c r="L94" s="56">
        <f>L95</f>
        <v>11544.543120000002</v>
      </c>
      <c r="M94" s="101">
        <f>M95</f>
        <v>-1124.15688</v>
      </c>
    </row>
    <row r="95" spans="1:14" ht="15.75">
      <c r="A95" s="23"/>
      <c r="B95" s="4" t="s">
        <v>116</v>
      </c>
      <c r="C95" s="8" t="s">
        <v>10</v>
      </c>
      <c r="D95" s="8" t="s">
        <v>25</v>
      </c>
      <c r="E95" s="14" t="s">
        <v>12</v>
      </c>
      <c r="F95" s="8"/>
      <c r="G95" s="25">
        <f t="shared" si="38"/>
        <v>700</v>
      </c>
      <c r="H95" s="49">
        <f t="shared" si="38"/>
        <v>2173.7</v>
      </c>
      <c r="I95" s="49">
        <f t="shared" si="38"/>
        <v>2173.7</v>
      </c>
      <c r="J95" s="49">
        <f t="shared" si="38"/>
        <v>12668.7</v>
      </c>
      <c r="K95" s="49">
        <f t="shared" si="38"/>
        <v>12668.7</v>
      </c>
      <c r="L95" s="56">
        <f>L96+L97+L98</f>
        <v>11544.543120000002</v>
      </c>
      <c r="M95" s="101">
        <f>M96+M97</f>
        <v>-1124.15688</v>
      </c>
      <c r="N95" s="58"/>
    </row>
    <row r="96" spans="1:13" ht="113.25" customHeight="1">
      <c r="A96" s="23"/>
      <c r="B96" s="5" t="s">
        <v>207</v>
      </c>
      <c r="C96" s="8" t="s">
        <v>10</v>
      </c>
      <c r="D96" s="8" t="s">
        <v>25</v>
      </c>
      <c r="E96" s="14" t="s">
        <v>79</v>
      </c>
      <c r="F96" s="8" t="s">
        <v>46</v>
      </c>
      <c r="G96" s="73">
        <v>700</v>
      </c>
      <c r="H96" s="74">
        <f>700+1473.7</f>
        <v>2173.7</v>
      </c>
      <c r="I96" s="74">
        <f>700+1473.7</f>
        <v>2173.7</v>
      </c>
      <c r="J96" s="74">
        <f>700+1473.7+10495</f>
        <v>12668.7</v>
      </c>
      <c r="K96" s="74">
        <f>700+1473.7+10495</f>
        <v>12668.7</v>
      </c>
      <c r="L96" s="75">
        <f>700+1473.7+10495-700-424.135-195.92188</f>
        <v>11348.64312</v>
      </c>
      <c r="M96" s="101">
        <v>-1320.05688</v>
      </c>
    </row>
    <row r="97" spans="1:13" ht="141.75">
      <c r="A97" s="23"/>
      <c r="B97" s="5" t="s">
        <v>232</v>
      </c>
      <c r="C97" s="8" t="s">
        <v>10</v>
      </c>
      <c r="D97" s="8" t="s">
        <v>25</v>
      </c>
      <c r="E97" s="14" t="s">
        <v>233</v>
      </c>
      <c r="F97" s="8" t="s">
        <v>14</v>
      </c>
      <c r="G97" s="73">
        <v>0</v>
      </c>
      <c r="H97" s="74">
        <v>0</v>
      </c>
      <c r="I97" s="74">
        <v>0</v>
      </c>
      <c r="J97" s="74">
        <v>10495</v>
      </c>
      <c r="K97" s="74">
        <v>10495</v>
      </c>
      <c r="L97" s="75">
        <f>10495+195.92188-0.02188</f>
        <v>10690.9</v>
      </c>
      <c r="M97" s="101">
        <v>195.9</v>
      </c>
    </row>
    <row r="98" spans="1:13" ht="126" hidden="1">
      <c r="A98" s="23"/>
      <c r="B98" s="5" t="s">
        <v>274</v>
      </c>
      <c r="C98" s="8" t="s">
        <v>10</v>
      </c>
      <c r="D98" s="8" t="s">
        <v>25</v>
      </c>
      <c r="E98" s="14" t="s">
        <v>233</v>
      </c>
      <c r="F98" s="8" t="s">
        <v>234</v>
      </c>
      <c r="G98" s="73">
        <v>0</v>
      </c>
      <c r="H98" s="74">
        <v>0</v>
      </c>
      <c r="I98" s="74">
        <v>0</v>
      </c>
      <c r="J98" s="74">
        <v>-10495</v>
      </c>
      <c r="K98" s="74">
        <v>-10495</v>
      </c>
      <c r="L98" s="75">
        <v>-10495</v>
      </c>
      <c r="M98" s="101">
        <f>L98-K98</f>
        <v>0</v>
      </c>
    </row>
    <row r="99" spans="1:13" ht="31.5">
      <c r="A99" s="23"/>
      <c r="B99" s="34" t="s">
        <v>28</v>
      </c>
      <c r="C99" s="63" t="s">
        <v>10</v>
      </c>
      <c r="D99" s="63" t="s">
        <v>29</v>
      </c>
      <c r="E99" s="64"/>
      <c r="F99" s="63"/>
      <c r="G99" s="69">
        <f>G100+G106+G112+G103+G109</f>
        <v>1166.2</v>
      </c>
      <c r="H99" s="78">
        <f>H100+H106+H112+H103+H109+H120</f>
        <v>1366.2</v>
      </c>
      <c r="I99" s="67">
        <f>I100+I106+I112+I103+I109+I120</f>
        <v>1371.2</v>
      </c>
      <c r="J99" s="67">
        <f>J100+J106+J112+J103+J109+J120</f>
        <v>1349.7</v>
      </c>
      <c r="K99" s="67">
        <f>K100+K106+K112+K103+K109+K120</f>
        <v>1349.7</v>
      </c>
      <c r="L99" s="68">
        <f>L100+L106+L112+L103+L109+L120+L115</f>
        <v>1275.46767</v>
      </c>
      <c r="M99" s="87">
        <f>M100+M103+M106+M109+M112+M120</f>
        <v>-74.23233000000002</v>
      </c>
    </row>
    <row r="100" spans="1:13" ht="87.75" customHeight="1">
      <c r="A100" s="23"/>
      <c r="B100" s="4" t="s">
        <v>275</v>
      </c>
      <c r="C100" s="8" t="s">
        <v>10</v>
      </c>
      <c r="D100" s="8" t="s">
        <v>30</v>
      </c>
      <c r="E100" s="14" t="s">
        <v>38</v>
      </c>
      <c r="F100" s="8"/>
      <c r="G100" s="25">
        <f aca="true" t="shared" si="39" ref="G100:L100">G102</f>
        <v>50</v>
      </c>
      <c r="H100" s="49">
        <f t="shared" si="39"/>
        <v>50</v>
      </c>
      <c r="I100" s="49">
        <f t="shared" si="39"/>
        <v>50</v>
      </c>
      <c r="J100" s="49">
        <f t="shared" si="39"/>
        <v>50</v>
      </c>
      <c r="K100" s="49">
        <f t="shared" si="39"/>
        <v>50</v>
      </c>
      <c r="L100" s="56">
        <f t="shared" si="39"/>
        <v>27.367</v>
      </c>
      <c r="M100" s="101">
        <f>M101</f>
        <v>-22.633</v>
      </c>
    </row>
    <row r="101" spans="1:13" ht="39.75" customHeight="1">
      <c r="A101" s="23"/>
      <c r="B101" s="4" t="s">
        <v>67</v>
      </c>
      <c r="C101" s="8" t="s">
        <v>10</v>
      </c>
      <c r="D101" s="8" t="s">
        <v>29</v>
      </c>
      <c r="E101" s="14" t="s">
        <v>132</v>
      </c>
      <c r="F101" s="8"/>
      <c r="G101" s="25">
        <f aca="true" t="shared" si="40" ref="G101:L101">G102</f>
        <v>50</v>
      </c>
      <c r="H101" s="49">
        <f t="shared" si="40"/>
        <v>50</v>
      </c>
      <c r="I101" s="49">
        <f t="shared" si="40"/>
        <v>50</v>
      </c>
      <c r="J101" s="49">
        <f t="shared" si="40"/>
        <v>50</v>
      </c>
      <c r="K101" s="49">
        <f t="shared" si="40"/>
        <v>50</v>
      </c>
      <c r="L101" s="56">
        <f t="shared" si="40"/>
        <v>27.367</v>
      </c>
      <c r="M101" s="101">
        <f>M102</f>
        <v>-22.633</v>
      </c>
    </row>
    <row r="102" spans="1:13" ht="36.75" customHeight="1">
      <c r="A102" s="23"/>
      <c r="B102" s="4" t="s">
        <v>276</v>
      </c>
      <c r="C102" s="8" t="s">
        <v>10</v>
      </c>
      <c r="D102" s="8" t="s">
        <v>29</v>
      </c>
      <c r="E102" s="14" t="s">
        <v>133</v>
      </c>
      <c r="F102" s="8" t="s">
        <v>14</v>
      </c>
      <c r="G102" s="73">
        <v>50</v>
      </c>
      <c r="H102" s="74">
        <v>50</v>
      </c>
      <c r="I102" s="74">
        <v>50</v>
      </c>
      <c r="J102" s="74">
        <v>50</v>
      </c>
      <c r="K102" s="74">
        <v>50</v>
      </c>
      <c r="L102" s="75">
        <f>50-22.633</f>
        <v>27.367</v>
      </c>
      <c r="M102" s="101">
        <v>-22.633</v>
      </c>
    </row>
    <row r="103" spans="1:13" ht="94.5">
      <c r="A103" s="23"/>
      <c r="B103" s="4" t="s">
        <v>277</v>
      </c>
      <c r="C103" s="8" t="s">
        <v>10</v>
      </c>
      <c r="D103" s="8" t="s">
        <v>29</v>
      </c>
      <c r="E103" s="132" t="s">
        <v>25</v>
      </c>
      <c r="F103" s="129"/>
      <c r="G103" s="25">
        <f aca="true" t="shared" si="41" ref="G103:L103">G105</f>
        <v>50</v>
      </c>
      <c r="H103" s="49">
        <f t="shared" si="41"/>
        <v>50</v>
      </c>
      <c r="I103" s="49">
        <f t="shared" si="41"/>
        <v>50</v>
      </c>
      <c r="J103" s="49">
        <f t="shared" si="41"/>
        <v>50</v>
      </c>
      <c r="K103" s="49">
        <f t="shared" si="41"/>
        <v>50</v>
      </c>
      <c r="L103" s="56">
        <f t="shared" si="41"/>
        <v>45.6</v>
      </c>
      <c r="M103" s="101">
        <f>M104</f>
        <v>-4.4</v>
      </c>
    </row>
    <row r="104" spans="1:13" ht="31.5">
      <c r="A104" s="23"/>
      <c r="B104" s="4" t="s">
        <v>68</v>
      </c>
      <c r="C104" s="8" t="s">
        <v>10</v>
      </c>
      <c r="D104" s="8" t="s">
        <v>29</v>
      </c>
      <c r="E104" s="132" t="s">
        <v>134</v>
      </c>
      <c r="F104" s="129"/>
      <c r="G104" s="25">
        <f aca="true" t="shared" si="42" ref="G104:L104">G105</f>
        <v>50</v>
      </c>
      <c r="H104" s="49">
        <f t="shared" si="42"/>
        <v>50</v>
      </c>
      <c r="I104" s="49">
        <f t="shared" si="42"/>
        <v>50</v>
      </c>
      <c r="J104" s="49">
        <f t="shared" si="42"/>
        <v>50</v>
      </c>
      <c r="K104" s="49">
        <f t="shared" si="42"/>
        <v>50</v>
      </c>
      <c r="L104" s="56">
        <f t="shared" si="42"/>
        <v>45.6</v>
      </c>
      <c r="M104" s="101">
        <f>M105</f>
        <v>-4.4</v>
      </c>
    </row>
    <row r="105" spans="1:13" ht="36" customHeight="1">
      <c r="A105" s="23"/>
      <c r="B105" s="4" t="s">
        <v>276</v>
      </c>
      <c r="C105" s="8" t="s">
        <v>10</v>
      </c>
      <c r="D105" s="8" t="s">
        <v>29</v>
      </c>
      <c r="E105" s="132" t="s">
        <v>135</v>
      </c>
      <c r="F105" s="129" t="s">
        <v>14</v>
      </c>
      <c r="G105" s="73">
        <v>50</v>
      </c>
      <c r="H105" s="74">
        <v>50</v>
      </c>
      <c r="I105" s="74">
        <v>50</v>
      </c>
      <c r="J105" s="74">
        <v>50</v>
      </c>
      <c r="K105" s="74">
        <v>50</v>
      </c>
      <c r="L105" s="75">
        <f>50-4.4</f>
        <v>45.6</v>
      </c>
      <c r="M105" s="101">
        <v>-4.4</v>
      </c>
    </row>
    <row r="106" spans="1:13" ht="126">
      <c r="A106" s="23"/>
      <c r="B106" s="4" t="s">
        <v>278</v>
      </c>
      <c r="C106" s="8" t="s">
        <v>10</v>
      </c>
      <c r="D106" s="8" t="s">
        <v>29</v>
      </c>
      <c r="E106" s="14" t="s">
        <v>42</v>
      </c>
      <c r="F106" s="8"/>
      <c r="G106" s="25">
        <f aca="true" t="shared" si="43" ref="G106:L106">G108</f>
        <v>60</v>
      </c>
      <c r="H106" s="49">
        <f t="shared" si="43"/>
        <v>60</v>
      </c>
      <c r="I106" s="49">
        <f t="shared" si="43"/>
        <v>112</v>
      </c>
      <c r="J106" s="49">
        <f t="shared" si="43"/>
        <v>112</v>
      </c>
      <c r="K106" s="49">
        <f t="shared" si="43"/>
        <v>112</v>
      </c>
      <c r="L106" s="56">
        <f t="shared" si="43"/>
        <v>113.5</v>
      </c>
      <c r="M106" s="101">
        <f>M107</f>
        <v>1.5</v>
      </c>
    </row>
    <row r="107" spans="1:13" ht="31.5">
      <c r="A107" s="23"/>
      <c r="B107" s="4" t="s">
        <v>69</v>
      </c>
      <c r="C107" s="8" t="s">
        <v>10</v>
      </c>
      <c r="D107" s="8" t="s">
        <v>29</v>
      </c>
      <c r="E107" s="14" t="s">
        <v>136</v>
      </c>
      <c r="F107" s="8"/>
      <c r="G107" s="25">
        <f aca="true" t="shared" si="44" ref="G107:L107">G108</f>
        <v>60</v>
      </c>
      <c r="H107" s="49">
        <f t="shared" si="44"/>
        <v>60</v>
      </c>
      <c r="I107" s="49">
        <f t="shared" si="44"/>
        <v>112</v>
      </c>
      <c r="J107" s="49">
        <f t="shared" si="44"/>
        <v>112</v>
      </c>
      <c r="K107" s="49">
        <f t="shared" si="44"/>
        <v>112</v>
      </c>
      <c r="L107" s="56">
        <f t="shared" si="44"/>
        <v>113.5</v>
      </c>
      <c r="M107" s="101">
        <v>1.5</v>
      </c>
    </row>
    <row r="108" spans="1:13" ht="33.75" customHeight="1">
      <c r="A108" s="23"/>
      <c r="B108" s="4" t="s">
        <v>254</v>
      </c>
      <c r="C108" s="8" t="s">
        <v>10</v>
      </c>
      <c r="D108" s="8" t="s">
        <v>29</v>
      </c>
      <c r="E108" s="14" t="s">
        <v>137</v>
      </c>
      <c r="F108" s="8" t="s">
        <v>14</v>
      </c>
      <c r="G108" s="73">
        <v>60</v>
      </c>
      <c r="H108" s="74">
        <v>60</v>
      </c>
      <c r="I108" s="74">
        <f>60+52</f>
        <v>112</v>
      </c>
      <c r="J108" s="74">
        <f>60+52</f>
        <v>112</v>
      </c>
      <c r="K108" s="74">
        <f>60+52</f>
        <v>112</v>
      </c>
      <c r="L108" s="75">
        <f>60+52+1.5</f>
        <v>113.5</v>
      </c>
      <c r="M108" s="101">
        <v>1.5</v>
      </c>
    </row>
    <row r="109" spans="1:13" ht="63">
      <c r="A109" s="23"/>
      <c r="B109" s="4" t="s">
        <v>312</v>
      </c>
      <c r="C109" s="8" t="s">
        <v>10</v>
      </c>
      <c r="D109" s="8" t="s">
        <v>29</v>
      </c>
      <c r="E109" s="14" t="s">
        <v>18</v>
      </c>
      <c r="F109" s="8"/>
      <c r="G109" s="73">
        <f aca="true" t="shared" si="45" ref="G109:L110">G110</f>
        <v>10</v>
      </c>
      <c r="H109" s="74">
        <f t="shared" si="45"/>
        <v>10</v>
      </c>
      <c r="I109" s="74">
        <f t="shared" si="45"/>
        <v>10</v>
      </c>
      <c r="J109" s="74">
        <f t="shared" si="45"/>
        <v>10</v>
      </c>
      <c r="K109" s="74">
        <f t="shared" si="45"/>
        <v>10</v>
      </c>
      <c r="L109" s="75">
        <f t="shared" si="45"/>
        <v>7</v>
      </c>
      <c r="M109" s="101">
        <f>M110</f>
        <v>-3</v>
      </c>
    </row>
    <row r="110" spans="1:13" ht="38.25" customHeight="1">
      <c r="A110" s="23"/>
      <c r="B110" s="4" t="s">
        <v>80</v>
      </c>
      <c r="C110" s="8" t="s">
        <v>10</v>
      </c>
      <c r="D110" s="8" t="s">
        <v>29</v>
      </c>
      <c r="E110" s="14" t="s">
        <v>138</v>
      </c>
      <c r="F110" s="8"/>
      <c r="G110" s="73">
        <f t="shared" si="45"/>
        <v>10</v>
      </c>
      <c r="H110" s="74">
        <f t="shared" si="45"/>
        <v>10</v>
      </c>
      <c r="I110" s="74">
        <f t="shared" si="45"/>
        <v>10</v>
      </c>
      <c r="J110" s="74">
        <f t="shared" si="45"/>
        <v>10</v>
      </c>
      <c r="K110" s="74">
        <f t="shared" si="45"/>
        <v>10</v>
      </c>
      <c r="L110" s="75">
        <f t="shared" si="45"/>
        <v>7</v>
      </c>
      <c r="M110" s="101">
        <f>M111</f>
        <v>-3</v>
      </c>
    </row>
    <row r="111" spans="1:13" ht="31.5">
      <c r="A111" s="23"/>
      <c r="B111" s="4" t="s">
        <v>254</v>
      </c>
      <c r="C111" s="8" t="s">
        <v>10</v>
      </c>
      <c r="D111" s="8" t="s">
        <v>29</v>
      </c>
      <c r="E111" s="14" t="s">
        <v>139</v>
      </c>
      <c r="F111" s="8" t="s">
        <v>14</v>
      </c>
      <c r="G111" s="73">
        <v>10</v>
      </c>
      <c r="H111" s="74">
        <v>10</v>
      </c>
      <c r="I111" s="74">
        <f>10</f>
        <v>10</v>
      </c>
      <c r="J111" s="74">
        <f>10</f>
        <v>10</v>
      </c>
      <c r="K111" s="74">
        <f>10</f>
        <v>10</v>
      </c>
      <c r="L111" s="75">
        <f>10-3</f>
        <v>7</v>
      </c>
      <c r="M111" s="101">
        <v>-3</v>
      </c>
    </row>
    <row r="112" spans="1:13" ht="78.75">
      <c r="A112" s="23"/>
      <c r="B112" s="4" t="s">
        <v>308</v>
      </c>
      <c r="C112" s="8" t="s">
        <v>10</v>
      </c>
      <c r="D112" s="8" t="s">
        <v>29</v>
      </c>
      <c r="E112" s="14" t="s">
        <v>5</v>
      </c>
      <c r="F112" s="8"/>
      <c r="G112" s="25">
        <f aca="true" t="shared" si="46" ref="G112:L112">G114</f>
        <v>996.2</v>
      </c>
      <c r="H112" s="49">
        <f t="shared" si="46"/>
        <v>996.2</v>
      </c>
      <c r="I112" s="49">
        <f t="shared" si="46"/>
        <v>996.2</v>
      </c>
      <c r="J112" s="49">
        <f t="shared" si="46"/>
        <v>996.2</v>
      </c>
      <c r="K112" s="49">
        <f t="shared" si="46"/>
        <v>996.2</v>
      </c>
      <c r="L112" s="56">
        <f t="shared" si="46"/>
        <v>977.60162</v>
      </c>
      <c r="M112" s="101">
        <f>M113+M118</f>
        <v>56.998619999999995</v>
      </c>
    </row>
    <row r="113" spans="1:13" ht="33" customHeight="1">
      <c r="A113" s="23"/>
      <c r="B113" s="18" t="s">
        <v>140</v>
      </c>
      <c r="C113" s="8" t="s">
        <v>10</v>
      </c>
      <c r="D113" s="8" t="s">
        <v>29</v>
      </c>
      <c r="E113" s="14" t="s">
        <v>101</v>
      </c>
      <c r="F113" s="8"/>
      <c r="G113" s="25">
        <f aca="true" t="shared" si="47" ref="G113:L113">G114</f>
        <v>996.2</v>
      </c>
      <c r="H113" s="49">
        <f t="shared" si="47"/>
        <v>996.2</v>
      </c>
      <c r="I113" s="49">
        <f t="shared" si="47"/>
        <v>996.2</v>
      </c>
      <c r="J113" s="49">
        <f t="shared" si="47"/>
        <v>996.2</v>
      </c>
      <c r="K113" s="49">
        <f t="shared" si="47"/>
        <v>996.2</v>
      </c>
      <c r="L113" s="56">
        <f t="shared" si="47"/>
        <v>977.60162</v>
      </c>
      <c r="M113" s="101">
        <f>M114</f>
        <v>-18.59838</v>
      </c>
    </row>
    <row r="114" spans="1:13" ht="140.25" customHeight="1">
      <c r="A114" s="23"/>
      <c r="B114" s="32" t="s">
        <v>102</v>
      </c>
      <c r="C114" s="8" t="s">
        <v>10</v>
      </c>
      <c r="D114" s="8" t="s">
        <v>29</v>
      </c>
      <c r="E114" s="14" t="s">
        <v>103</v>
      </c>
      <c r="F114" s="8" t="s">
        <v>8</v>
      </c>
      <c r="G114" s="73">
        <v>996.2</v>
      </c>
      <c r="H114" s="74">
        <v>996.2</v>
      </c>
      <c r="I114" s="74">
        <v>996.2</v>
      </c>
      <c r="J114" s="74">
        <v>996.2</v>
      </c>
      <c r="K114" s="74">
        <v>996.2</v>
      </c>
      <c r="L114" s="75">
        <f>996.2-18.59838</f>
        <v>977.60162</v>
      </c>
      <c r="M114" s="101">
        <v>-18.59838</v>
      </c>
    </row>
    <row r="115" spans="1:13" ht="0.75" customHeight="1" hidden="1">
      <c r="A115" s="23"/>
      <c r="B115" s="4" t="s">
        <v>268</v>
      </c>
      <c r="C115" s="8" t="s">
        <v>10</v>
      </c>
      <c r="D115" s="8" t="s">
        <v>29</v>
      </c>
      <c r="E115" s="14" t="s">
        <v>5</v>
      </c>
      <c r="F115" s="8"/>
      <c r="G115" s="73"/>
      <c r="H115" s="74"/>
      <c r="I115" s="74"/>
      <c r="J115" s="74"/>
      <c r="K115" s="74"/>
      <c r="L115" s="75">
        <f>L116</f>
        <v>75.597</v>
      </c>
      <c r="M115" s="101"/>
    </row>
    <row r="116" spans="1:13" ht="52.5" customHeight="1" hidden="1">
      <c r="A116" s="23"/>
      <c r="B116" s="4" t="s">
        <v>304</v>
      </c>
      <c r="C116" s="8" t="s">
        <v>10</v>
      </c>
      <c r="D116" s="8" t="s">
        <v>29</v>
      </c>
      <c r="E116" s="14" t="s">
        <v>104</v>
      </c>
      <c r="F116" s="8"/>
      <c r="G116" s="73"/>
      <c r="H116" s="74"/>
      <c r="I116" s="74"/>
      <c r="J116" s="74"/>
      <c r="K116" s="74"/>
      <c r="L116" s="75">
        <f>L117</f>
        <v>75.597</v>
      </c>
      <c r="M116" s="101"/>
    </row>
    <row r="117" spans="1:13" ht="50.25" customHeight="1" hidden="1">
      <c r="A117" s="23"/>
      <c r="B117" s="4" t="s">
        <v>260</v>
      </c>
      <c r="C117" s="8" t="s">
        <v>10</v>
      </c>
      <c r="D117" s="8" t="s">
        <v>29</v>
      </c>
      <c r="E117" s="14" t="s">
        <v>105</v>
      </c>
      <c r="F117" s="8" t="s">
        <v>14</v>
      </c>
      <c r="G117" s="73"/>
      <c r="H117" s="74"/>
      <c r="I117" s="74"/>
      <c r="J117" s="74">
        <v>0</v>
      </c>
      <c r="K117" s="74">
        <v>0</v>
      </c>
      <c r="L117" s="75">
        <f>75.597</f>
        <v>75.597</v>
      </c>
      <c r="M117" s="101"/>
    </row>
    <row r="118" spans="1:13" ht="50.25" customHeight="1">
      <c r="A118" s="23"/>
      <c r="B118" s="18" t="s">
        <v>205</v>
      </c>
      <c r="C118" s="8" t="s">
        <v>10</v>
      </c>
      <c r="D118" s="8" t="s">
        <v>29</v>
      </c>
      <c r="E118" s="14" t="s">
        <v>104</v>
      </c>
      <c r="F118" s="8"/>
      <c r="G118" s="73"/>
      <c r="H118" s="74"/>
      <c r="I118" s="74"/>
      <c r="J118" s="74"/>
      <c r="K118" s="74"/>
      <c r="L118" s="75"/>
      <c r="M118" s="101">
        <f>M119</f>
        <v>75.597</v>
      </c>
    </row>
    <row r="119" spans="1:13" ht="50.25" customHeight="1">
      <c r="A119" s="23"/>
      <c r="B119" s="15" t="s">
        <v>260</v>
      </c>
      <c r="C119" s="8" t="s">
        <v>10</v>
      </c>
      <c r="D119" s="8" t="s">
        <v>29</v>
      </c>
      <c r="E119" s="14" t="s">
        <v>105</v>
      </c>
      <c r="F119" s="8" t="s">
        <v>14</v>
      </c>
      <c r="G119" s="73"/>
      <c r="H119" s="74"/>
      <c r="I119" s="74"/>
      <c r="J119" s="74"/>
      <c r="K119" s="74"/>
      <c r="L119" s="75"/>
      <c r="M119" s="101">
        <v>75.597</v>
      </c>
    </row>
    <row r="120" spans="1:13" ht="22.5" customHeight="1">
      <c r="A120" s="23"/>
      <c r="B120" s="30" t="s">
        <v>57</v>
      </c>
      <c r="C120" s="8" t="s">
        <v>10</v>
      </c>
      <c r="D120" s="8" t="s">
        <v>29</v>
      </c>
      <c r="E120" s="14" t="s">
        <v>6</v>
      </c>
      <c r="F120" s="8"/>
      <c r="G120" s="133" t="str">
        <f aca="true" t="shared" si="48" ref="G120:L121">G121</f>
        <v>0</v>
      </c>
      <c r="H120" s="133" t="str">
        <f t="shared" si="48"/>
        <v>200</v>
      </c>
      <c r="I120" s="133">
        <f t="shared" si="48"/>
        <v>153</v>
      </c>
      <c r="J120" s="133">
        <f t="shared" si="48"/>
        <v>131.5</v>
      </c>
      <c r="K120" s="133">
        <f t="shared" si="48"/>
        <v>131.5</v>
      </c>
      <c r="L120" s="134">
        <f t="shared" si="48"/>
        <v>28.802050000000005</v>
      </c>
      <c r="M120" s="101">
        <f>M121</f>
        <v>-102.69795</v>
      </c>
    </row>
    <row r="121" spans="1:13" ht="22.5" customHeight="1">
      <c r="A121" s="23"/>
      <c r="B121" s="31" t="s">
        <v>116</v>
      </c>
      <c r="C121" s="8" t="s">
        <v>10</v>
      </c>
      <c r="D121" s="8" t="s">
        <v>29</v>
      </c>
      <c r="E121" s="14" t="s">
        <v>12</v>
      </c>
      <c r="F121" s="8"/>
      <c r="G121" s="133" t="str">
        <f t="shared" si="48"/>
        <v>0</v>
      </c>
      <c r="H121" s="133" t="str">
        <f t="shared" si="48"/>
        <v>200</v>
      </c>
      <c r="I121" s="133">
        <f t="shared" si="48"/>
        <v>153</v>
      </c>
      <c r="J121" s="133">
        <f t="shared" si="48"/>
        <v>131.5</v>
      </c>
      <c r="K121" s="133">
        <f t="shared" si="48"/>
        <v>131.5</v>
      </c>
      <c r="L121" s="134">
        <f t="shared" si="48"/>
        <v>28.802050000000005</v>
      </c>
      <c r="M121" s="101">
        <f>M122</f>
        <v>-102.69795</v>
      </c>
    </row>
    <row r="122" spans="1:13" ht="83.25" customHeight="1">
      <c r="A122" s="23"/>
      <c r="B122" s="6" t="s">
        <v>215</v>
      </c>
      <c r="C122" s="8" t="s">
        <v>10</v>
      </c>
      <c r="D122" s="8" t="s">
        <v>29</v>
      </c>
      <c r="E122" s="14" t="s">
        <v>216</v>
      </c>
      <c r="F122" s="8" t="s">
        <v>90</v>
      </c>
      <c r="G122" s="135" t="s">
        <v>217</v>
      </c>
      <c r="H122" s="135" t="s">
        <v>14</v>
      </c>
      <c r="I122" s="133">
        <f>200-47</f>
        <v>153</v>
      </c>
      <c r="J122" s="133">
        <f>200-47-21.5</f>
        <v>131.5</v>
      </c>
      <c r="K122" s="133">
        <f>200-47-21.5</f>
        <v>131.5</v>
      </c>
      <c r="L122" s="134">
        <f>200-47-21.5-75.597-27.10095</f>
        <v>28.802050000000005</v>
      </c>
      <c r="M122" s="101">
        <v>-102.69795</v>
      </c>
    </row>
    <row r="123" spans="1:13" ht="15.75">
      <c r="A123" s="23"/>
      <c r="B123" s="34" t="s">
        <v>31</v>
      </c>
      <c r="C123" s="63" t="s">
        <v>32</v>
      </c>
      <c r="D123" s="63"/>
      <c r="E123" s="14"/>
      <c r="F123" s="8"/>
      <c r="G123" s="69">
        <f>G124+G145+G171</f>
        <v>8964.6</v>
      </c>
      <c r="H123" s="70">
        <f>H124+H145+H171</f>
        <v>15961.730000000001</v>
      </c>
      <c r="I123" s="71">
        <f>I124+I145+I171</f>
        <v>39581.12931999999</v>
      </c>
      <c r="J123" s="71">
        <f>J124+J145+J171</f>
        <v>45758.460009999995</v>
      </c>
      <c r="K123" s="71">
        <f>K124+K145+K171</f>
        <v>53758.460009999995</v>
      </c>
      <c r="L123" s="68">
        <f>L124+L145+L171+L139</f>
        <v>39391.028600000005</v>
      </c>
      <c r="M123" s="87">
        <f>M124+M139+M145+M171</f>
        <v>-14583.038990000001</v>
      </c>
    </row>
    <row r="124" spans="1:13" ht="15.75">
      <c r="A124" s="23"/>
      <c r="B124" s="34" t="s">
        <v>33</v>
      </c>
      <c r="C124" s="63" t="s">
        <v>32</v>
      </c>
      <c r="D124" s="63" t="s">
        <v>4</v>
      </c>
      <c r="E124" s="64"/>
      <c r="F124" s="63"/>
      <c r="G124" s="136">
        <f>G131+G125</f>
        <v>1741.9</v>
      </c>
      <c r="H124" s="137">
        <f>H131+H125</f>
        <v>1741.9</v>
      </c>
      <c r="I124" s="71">
        <f>I131+I125</f>
        <v>25322.80446</v>
      </c>
      <c r="J124" s="71">
        <f>J131+J125+J136+J137</f>
        <v>31200.135150000002</v>
      </c>
      <c r="K124" s="71">
        <f>K131+K125+K136+K137</f>
        <v>31200.135150000002</v>
      </c>
      <c r="L124" s="68">
        <f>L131+L125+L136+L137+L138</f>
        <v>15898.428440000002</v>
      </c>
      <c r="M124" s="87">
        <f>M125+M131+M137+M138</f>
        <v>-15517.31429</v>
      </c>
    </row>
    <row r="125" spans="1:13" ht="63.75" customHeight="1">
      <c r="A125" s="23"/>
      <c r="B125" s="4" t="s">
        <v>279</v>
      </c>
      <c r="C125" s="127" t="s">
        <v>32</v>
      </c>
      <c r="D125" s="127" t="s">
        <v>4</v>
      </c>
      <c r="E125" s="72" t="s">
        <v>29</v>
      </c>
      <c r="F125" s="8"/>
      <c r="G125" s="73">
        <f aca="true" t="shared" si="49" ref="G125:K126">G126</f>
        <v>382.9</v>
      </c>
      <c r="H125" s="74">
        <f t="shared" si="49"/>
        <v>382.9</v>
      </c>
      <c r="I125" s="75">
        <f t="shared" si="49"/>
        <v>24463.80446</v>
      </c>
      <c r="J125" s="75">
        <f t="shared" si="49"/>
        <v>30046.635150000002</v>
      </c>
      <c r="K125" s="75">
        <f t="shared" si="49"/>
        <v>30046.635150000002</v>
      </c>
      <c r="L125" s="75">
        <f>L126</f>
        <v>14840.72328</v>
      </c>
      <c r="M125" s="101">
        <f>M126</f>
        <v>-15421.51945</v>
      </c>
    </row>
    <row r="126" spans="1:13" ht="34.5" customHeight="1">
      <c r="A126" s="23"/>
      <c r="B126" s="4" t="s">
        <v>141</v>
      </c>
      <c r="C126" s="127" t="s">
        <v>32</v>
      </c>
      <c r="D126" s="127" t="s">
        <v>4</v>
      </c>
      <c r="E126" s="72" t="s">
        <v>142</v>
      </c>
      <c r="F126" s="8"/>
      <c r="G126" s="73">
        <f t="shared" si="49"/>
        <v>382.9</v>
      </c>
      <c r="H126" s="74">
        <f t="shared" si="49"/>
        <v>382.9</v>
      </c>
      <c r="I126" s="75">
        <f>I128+I130</f>
        <v>24463.80446</v>
      </c>
      <c r="J126" s="75">
        <f>J128+J130+J129</f>
        <v>30046.635150000002</v>
      </c>
      <c r="K126" s="75">
        <f>K128+K130+K129</f>
        <v>30046.635150000002</v>
      </c>
      <c r="L126" s="75">
        <f>L128+L130+L129</f>
        <v>14840.72328</v>
      </c>
      <c r="M126" s="101">
        <f>M128+M130</f>
        <v>-15421.51945</v>
      </c>
    </row>
    <row r="127" spans="1:13" ht="0.75" customHeight="1">
      <c r="A127" s="23"/>
      <c r="B127" s="5" t="s">
        <v>143</v>
      </c>
      <c r="C127" s="127" t="s">
        <v>32</v>
      </c>
      <c r="D127" s="127" t="s">
        <v>4</v>
      </c>
      <c r="E127" s="72" t="s">
        <v>201</v>
      </c>
      <c r="F127" s="127" t="s">
        <v>90</v>
      </c>
      <c r="G127" s="74">
        <v>382.9</v>
      </c>
      <c r="H127" s="74">
        <v>382.9</v>
      </c>
      <c r="I127" s="74">
        <f>382.9-382.9</f>
        <v>0</v>
      </c>
      <c r="J127" s="74">
        <f>382.9-382.9</f>
        <v>0</v>
      </c>
      <c r="K127" s="74">
        <f>382.9-382.9</f>
        <v>0</v>
      </c>
      <c r="L127" s="75">
        <f>382.9-382.9</f>
        <v>0</v>
      </c>
      <c r="M127" s="101">
        <f>L127-K127</f>
        <v>0</v>
      </c>
    </row>
    <row r="128" spans="1:13" ht="64.5" customHeight="1">
      <c r="A128" s="23"/>
      <c r="B128" s="5" t="s">
        <v>143</v>
      </c>
      <c r="C128" s="127" t="s">
        <v>32</v>
      </c>
      <c r="D128" s="127" t="s">
        <v>4</v>
      </c>
      <c r="E128" s="72" t="s">
        <v>227</v>
      </c>
      <c r="F128" s="127" t="s">
        <v>90</v>
      </c>
      <c r="G128" s="74">
        <v>0</v>
      </c>
      <c r="H128" s="74">
        <v>0</v>
      </c>
      <c r="I128" s="74">
        <v>3744.2</v>
      </c>
      <c r="J128" s="74">
        <f>3744.2+2968.47116</f>
        <v>6712.67116</v>
      </c>
      <c r="K128" s="74">
        <f>3744.2+2968.47116</f>
        <v>6712.67116</v>
      </c>
      <c r="L128" s="75">
        <f>3744.2+2968.47116-2612.06574-658.55042+362.9-215.60758-147.29242-147.29841</f>
        <v>3294.7565900000004</v>
      </c>
      <c r="M128" s="101">
        <v>-3633.52215</v>
      </c>
    </row>
    <row r="129" spans="1:13" ht="47.25" hidden="1">
      <c r="A129" s="23"/>
      <c r="B129" s="5" t="s">
        <v>235</v>
      </c>
      <c r="C129" s="127" t="s">
        <v>32</v>
      </c>
      <c r="D129" s="127" t="s">
        <v>4</v>
      </c>
      <c r="E129" s="72" t="s">
        <v>227</v>
      </c>
      <c r="F129" s="127" t="s">
        <v>15</v>
      </c>
      <c r="G129" s="74">
        <v>0</v>
      </c>
      <c r="H129" s="74">
        <v>0</v>
      </c>
      <c r="I129" s="74">
        <v>0</v>
      </c>
      <c r="J129" s="74">
        <v>20</v>
      </c>
      <c r="K129" s="74">
        <v>20</v>
      </c>
      <c r="L129" s="75">
        <v>20</v>
      </c>
      <c r="M129" s="101">
        <f>L129-K129</f>
        <v>0</v>
      </c>
    </row>
    <row r="130" spans="1:13" ht="96.75" customHeight="1">
      <c r="A130" s="23"/>
      <c r="B130" s="5" t="s">
        <v>283</v>
      </c>
      <c r="C130" s="127" t="s">
        <v>32</v>
      </c>
      <c r="D130" s="127" t="s">
        <v>4</v>
      </c>
      <c r="E130" s="72" t="s">
        <v>228</v>
      </c>
      <c r="F130" s="127" t="s">
        <v>90</v>
      </c>
      <c r="G130" s="74">
        <v>0</v>
      </c>
      <c r="H130" s="74">
        <v>0</v>
      </c>
      <c r="I130" s="75">
        <v>20719.60446</v>
      </c>
      <c r="J130" s="75">
        <f>20719.60446+2594.35953</f>
        <v>23313.96399</v>
      </c>
      <c r="K130" s="75">
        <f>20719.60446+2594.35953</f>
        <v>23313.96399</v>
      </c>
      <c r="L130" s="75">
        <f>20719.60446+2594.35953-8056.21756-3731.78573+0.00599</f>
        <v>11525.96669</v>
      </c>
      <c r="M130" s="101">
        <v>-11787.9973</v>
      </c>
    </row>
    <row r="131" spans="1:13" ht="31.5">
      <c r="A131" s="23"/>
      <c r="B131" s="4" t="s">
        <v>280</v>
      </c>
      <c r="C131" s="8" t="s">
        <v>32</v>
      </c>
      <c r="D131" s="8" t="s">
        <v>4</v>
      </c>
      <c r="E131" s="14" t="s">
        <v>20</v>
      </c>
      <c r="F131" s="8"/>
      <c r="G131" s="73">
        <f aca="true" t="shared" si="50" ref="G131:L131">G132+G134</f>
        <v>1359</v>
      </c>
      <c r="H131" s="74">
        <f t="shared" si="50"/>
        <v>1359</v>
      </c>
      <c r="I131" s="74">
        <f t="shared" si="50"/>
        <v>859</v>
      </c>
      <c r="J131" s="74">
        <f t="shared" si="50"/>
        <v>982</v>
      </c>
      <c r="K131" s="74">
        <f t="shared" si="50"/>
        <v>982</v>
      </c>
      <c r="L131" s="75">
        <f t="shared" si="50"/>
        <v>900.69488</v>
      </c>
      <c r="M131" s="101">
        <f>M132</f>
        <v>-81.30511999999999</v>
      </c>
    </row>
    <row r="132" spans="1:13" ht="47.25">
      <c r="A132" s="23"/>
      <c r="B132" s="12" t="s">
        <v>144</v>
      </c>
      <c r="C132" s="8" t="s">
        <v>32</v>
      </c>
      <c r="D132" s="8" t="s">
        <v>4</v>
      </c>
      <c r="E132" s="14" t="s">
        <v>145</v>
      </c>
      <c r="F132" s="8"/>
      <c r="G132" s="73">
        <f aca="true" t="shared" si="51" ref="G132:L132">G133</f>
        <v>982</v>
      </c>
      <c r="H132" s="74">
        <f t="shared" si="51"/>
        <v>982</v>
      </c>
      <c r="I132" s="74">
        <f t="shared" si="51"/>
        <v>482</v>
      </c>
      <c r="J132" s="74">
        <f t="shared" si="51"/>
        <v>982</v>
      </c>
      <c r="K132" s="74">
        <f t="shared" si="51"/>
        <v>982</v>
      </c>
      <c r="L132" s="75">
        <f t="shared" si="51"/>
        <v>900.69488</v>
      </c>
      <c r="M132" s="101">
        <f>M133</f>
        <v>-81.30511999999999</v>
      </c>
    </row>
    <row r="133" spans="1:13" ht="50.25" customHeight="1">
      <c r="A133" s="23"/>
      <c r="B133" s="13" t="s">
        <v>281</v>
      </c>
      <c r="C133" s="8" t="s">
        <v>32</v>
      </c>
      <c r="D133" s="8" t="s">
        <v>4</v>
      </c>
      <c r="E133" s="14" t="s">
        <v>146</v>
      </c>
      <c r="F133" s="8" t="s">
        <v>14</v>
      </c>
      <c r="G133" s="74">
        <v>982</v>
      </c>
      <c r="H133" s="74">
        <v>982</v>
      </c>
      <c r="I133" s="74">
        <f>982-500</f>
        <v>482</v>
      </c>
      <c r="J133" s="74">
        <f>982-500+500</f>
        <v>982</v>
      </c>
      <c r="K133" s="74">
        <f>982-500+500</f>
        <v>982</v>
      </c>
      <c r="L133" s="75">
        <f>982-500+500-81.30512</f>
        <v>900.69488</v>
      </c>
      <c r="M133" s="101">
        <f aca="true" t="shared" si="52" ref="M133:M138">L133-K133</f>
        <v>-81.30511999999999</v>
      </c>
    </row>
    <row r="134" spans="1:13" ht="43.5" customHeight="1" hidden="1">
      <c r="A134" s="23"/>
      <c r="B134" s="21" t="s">
        <v>70</v>
      </c>
      <c r="C134" s="8" t="s">
        <v>32</v>
      </c>
      <c r="D134" s="8" t="s">
        <v>4</v>
      </c>
      <c r="E134" s="14" t="s">
        <v>147</v>
      </c>
      <c r="F134" s="8"/>
      <c r="G134" s="73">
        <f aca="true" t="shared" si="53" ref="G134:L134">G135</f>
        <v>377</v>
      </c>
      <c r="H134" s="74">
        <f t="shared" si="53"/>
        <v>377</v>
      </c>
      <c r="I134" s="74">
        <f t="shared" si="53"/>
        <v>377</v>
      </c>
      <c r="J134" s="74">
        <f t="shared" si="53"/>
        <v>0</v>
      </c>
      <c r="K134" s="74">
        <f t="shared" si="53"/>
        <v>0</v>
      </c>
      <c r="L134" s="75">
        <f t="shared" si="53"/>
        <v>0</v>
      </c>
      <c r="M134" s="101">
        <f t="shared" si="52"/>
        <v>0</v>
      </c>
    </row>
    <row r="135" spans="1:13" ht="94.5" hidden="1">
      <c r="A135" s="23"/>
      <c r="B135" s="52" t="s">
        <v>148</v>
      </c>
      <c r="C135" s="8" t="s">
        <v>32</v>
      </c>
      <c r="D135" s="8" t="s">
        <v>4</v>
      </c>
      <c r="E135" s="72" t="s">
        <v>200</v>
      </c>
      <c r="F135" s="8" t="s">
        <v>34</v>
      </c>
      <c r="G135" s="73">
        <v>377</v>
      </c>
      <c r="H135" s="74">
        <v>377</v>
      </c>
      <c r="I135" s="74">
        <v>377</v>
      </c>
      <c r="J135" s="74">
        <f>377-377</f>
        <v>0</v>
      </c>
      <c r="K135" s="74">
        <f>377-377</f>
        <v>0</v>
      </c>
      <c r="L135" s="75">
        <f>377-377</f>
        <v>0</v>
      </c>
      <c r="M135" s="101">
        <f t="shared" si="52"/>
        <v>0</v>
      </c>
    </row>
    <row r="136" spans="1:13" ht="36" customHeight="1" hidden="1">
      <c r="A136" s="23"/>
      <c r="B136" s="52" t="s">
        <v>237</v>
      </c>
      <c r="C136" s="8" t="s">
        <v>32</v>
      </c>
      <c r="D136" s="8" t="s">
        <v>4</v>
      </c>
      <c r="E136" s="72" t="s">
        <v>236</v>
      </c>
      <c r="F136" s="8" t="s">
        <v>15</v>
      </c>
      <c r="G136" s="73">
        <v>0</v>
      </c>
      <c r="H136" s="74">
        <v>0</v>
      </c>
      <c r="I136" s="74">
        <v>0</v>
      </c>
      <c r="J136" s="74">
        <f>150</f>
        <v>150</v>
      </c>
      <c r="K136" s="74">
        <f>150</f>
        <v>150</v>
      </c>
      <c r="L136" s="75">
        <f>150</f>
        <v>150</v>
      </c>
      <c r="M136" s="101">
        <f t="shared" si="52"/>
        <v>0</v>
      </c>
    </row>
    <row r="137" spans="1:13" ht="56.25" customHeight="1">
      <c r="A137" s="23"/>
      <c r="B137" s="6" t="s">
        <v>282</v>
      </c>
      <c r="C137" s="8" t="s">
        <v>32</v>
      </c>
      <c r="D137" s="8" t="s">
        <v>4</v>
      </c>
      <c r="E137" s="72" t="s">
        <v>216</v>
      </c>
      <c r="F137" s="8" t="s">
        <v>14</v>
      </c>
      <c r="G137" s="73">
        <v>0</v>
      </c>
      <c r="H137" s="74">
        <v>0</v>
      </c>
      <c r="I137" s="74">
        <v>0</v>
      </c>
      <c r="J137" s="74">
        <v>21.5</v>
      </c>
      <c r="K137" s="74">
        <v>21.5</v>
      </c>
      <c r="L137" s="75">
        <f>21.5-21.5</f>
        <v>0</v>
      </c>
      <c r="M137" s="101">
        <f t="shared" si="52"/>
        <v>-21.5</v>
      </c>
    </row>
    <row r="138" spans="1:13" ht="78.75">
      <c r="A138" s="23"/>
      <c r="B138" s="6" t="s">
        <v>284</v>
      </c>
      <c r="C138" s="8" t="s">
        <v>32</v>
      </c>
      <c r="D138" s="8" t="s">
        <v>4</v>
      </c>
      <c r="E138" s="72" t="s">
        <v>216</v>
      </c>
      <c r="F138" s="8" t="s">
        <v>90</v>
      </c>
      <c r="G138" s="73">
        <v>0</v>
      </c>
      <c r="H138" s="74">
        <v>0</v>
      </c>
      <c r="I138" s="74">
        <v>0</v>
      </c>
      <c r="J138" s="74">
        <v>0</v>
      </c>
      <c r="K138" s="74">
        <v>0</v>
      </c>
      <c r="L138" s="75">
        <f>21.5-14.48972</f>
        <v>7.01028</v>
      </c>
      <c r="M138" s="101">
        <f t="shared" si="52"/>
        <v>7.01028</v>
      </c>
    </row>
    <row r="139" spans="1:13" ht="20.25" customHeight="1">
      <c r="A139" s="23"/>
      <c r="B139" s="39" t="s">
        <v>248</v>
      </c>
      <c r="C139" s="63" t="s">
        <v>32</v>
      </c>
      <c r="D139" s="63" t="s">
        <v>5</v>
      </c>
      <c r="E139" s="138"/>
      <c r="F139" s="63"/>
      <c r="G139" s="65"/>
      <c r="H139" s="66"/>
      <c r="I139" s="66"/>
      <c r="J139" s="66"/>
      <c r="K139" s="66"/>
      <c r="L139" s="68">
        <f>L140</f>
        <v>1886.87</v>
      </c>
      <c r="M139" s="87">
        <f>M140</f>
        <v>1886.87</v>
      </c>
    </row>
    <row r="140" spans="1:13" ht="15.75">
      <c r="A140" s="23"/>
      <c r="B140" s="30" t="s">
        <v>57</v>
      </c>
      <c r="C140" s="8" t="s">
        <v>32</v>
      </c>
      <c r="D140" s="8" t="s">
        <v>5</v>
      </c>
      <c r="E140" s="72" t="s">
        <v>6</v>
      </c>
      <c r="F140" s="8"/>
      <c r="G140" s="73"/>
      <c r="H140" s="74"/>
      <c r="I140" s="74"/>
      <c r="J140" s="74"/>
      <c r="K140" s="74"/>
      <c r="L140" s="75">
        <f>L141</f>
        <v>1886.87</v>
      </c>
      <c r="M140" s="101">
        <f>M141</f>
        <v>1886.87</v>
      </c>
    </row>
    <row r="141" spans="1:13" ht="17.25" customHeight="1">
      <c r="A141" s="23"/>
      <c r="B141" s="31" t="s">
        <v>116</v>
      </c>
      <c r="C141" s="8" t="s">
        <v>32</v>
      </c>
      <c r="D141" s="8" t="s">
        <v>5</v>
      </c>
      <c r="E141" s="72" t="s">
        <v>12</v>
      </c>
      <c r="F141" s="8"/>
      <c r="G141" s="73"/>
      <c r="H141" s="74"/>
      <c r="I141" s="74"/>
      <c r="J141" s="74"/>
      <c r="K141" s="74"/>
      <c r="L141" s="75">
        <f>L144+L142+L143</f>
        <v>1886.87</v>
      </c>
      <c r="M141" s="101">
        <f>M142+M143+M144</f>
        <v>1886.87</v>
      </c>
    </row>
    <row r="142" spans="1:13" ht="63">
      <c r="A142" s="23"/>
      <c r="B142" s="31" t="s">
        <v>309</v>
      </c>
      <c r="C142" s="8" t="s">
        <v>32</v>
      </c>
      <c r="D142" s="8" t="s">
        <v>5</v>
      </c>
      <c r="E142" s="72" t="s">
        <v>313</v>
      </c>
      <c r="F142" s="8" t="s">
        <v>14</v>
      </c>
      <c r="G142" s="73"/>
      <c r="H142" s="74"/>
      <c r="I142" s="74"/>
      <c r="J142" s="74"/>
      <c r="K142" s="74"/>
      <c r="L142" s="75">
        <v>99.31</v>
      </c>
      <c r="M142" s="101">
        <v>99.31</v>
      </c>
    </row>
    <row r="143" spans="1:13" ht="63">
      <c r="A143" s="23"/>
      <c r="B143" s="31" t="s">
        <v>309</v>
      </c>
      <c r="C143" s="8" t="s">
        <v>32</v>
      </c>
      <c r="D143" s="8" t="s">
        <v>5</v>
      </c>
      <c r="E143" s="72" t="s">
        <v>313</v>
      </c>
      <c r="F143" s="8" t="s">
        <v>14</v>
      </c>
      <c r="G143" s="73"/>
      <c r="H143" s="74"/>
      <c r="I143" s="74"/>
      <c r="J143" s="74"/>
      <c r="K143" s="74"/>
      <c r="L143" s="75">
        <v>-99.31</v>
      </c>
      <c r="M143" s="101">
        <v>-99.31</v>
      </c>
    </row>
    <row r="144" spans="1:13" ht="98.25" customHeight="1">
      <c r="A144" s="23"/>
      <c r="B144" s="6" t="s">
        <v>249</v>
      </c>
      <c r="C144" s="8" t="s">
        <v>32</v>
      </c>
      <c r="D144" s="8" t="s">
        <v>5</v>
      </c>
      <c r="E144" s="72" t="s">
        <v>314</v>
      </c>
      <c r="F144" s="8" t="s">
        <v>14</v>
      </c>
      <c r="G144" s="73">
        <v>0</v>
      </c>
      <c r="H144" s="74">
        <v>0</v>
      </c>
      <c r="I144" s="74">
        <v>0</v>
      </c>
      <c r="J144" s="74">
        <v>0</v>
      </c>
      <c r="K144" s="74">
        <v>0</v>
      </c>
      <c r="L144" s="75">
        <f>1886.87</f>
        <v>1886.87</v>
      </c>
      <c r="M144" s="101">
        <v>1886.87</v>
      </c>
    </row>
    <row r="145" spans="1:13" ht="15.75">
      <c r="A145" s="23"/>
      <c r="B145" s="34" t="s">
        <v>35</v>
      </c>
      <c r="C145" s="63" t="s">
        <v>32</v>
      </c>
      <c r="D145" s="63" t="s">
        <v>9</v>
      </c>
      <c r="E145" s="64"/>
      <c r="F145" s="63"/>
      <c r="G145" s="65">
        <f>G149+G168+G159</f>
        <v>5495</v>
      </c>
      <c r="H145" s="66">
        <f>H149+H168+H159+H164</f>
        <v>12492.130000000001</v>
      </c>
      <c r="I145" s="71">
        <f>I149+I168+I159+I164</f>
        <v>12530.62486</v>
      </c>
      <c r="J145" s="71">
        <f>J149+J168+J159+J164</f>
        <v>12830.62486</v>
      </c>
      <c r="K145" s="71">
        <f>K149+K168+K159+K164</f>
        <v>20830.62486</v>
      </c>
      <c r="L145" s="68">
        <f>L149+L168+L159+L164+L146</f>
        <v>19964.75946</v>
      </c>
      <c r="M145" s="87">
        <f>M146+M149+M159+M168</f>
        <v>-865.8653999999999</v>
      </c>
    </row>
    <row r="146" spans="1:13" ht="85.5" customHeight="1">
      <c r="A146" s="23"/>
      <c r="B146" s="4" t="s">
        <v>268</v>
      </c>
      <c r="C146" s="8" t="s">
        <v>32</v>
      </c>
      <c r="D146" s="8" t="s">
        <v>9</v>
      </c>
      <c r="E146" s="14" t="s">
        <v>5</v>
      </c>
      <c r="F146" s="8"/>
      <c r="G146" s="65"/>
      <c r="H146" s="66"/>
      <c r="I146" s="71"/>
      <c r="J146" s="76"/>
      <c r="K146" s="76"/>
      <c r="L146" s="56">
        <f>L147</f>
        <v>425.05016</v>
      </c>
      <c r="M146" s="101">
        <f>M147</f>
        <v>425.05016</v>
      </c>
    </row>
    <row r="147" spans="1:13" ht="47.25">
      <c r="A147" s="23"/>
      <c r="B147" s="4" t="s">
        <v>304</v>
      </c>
      <c r="C147" s="8" t="s">
        <v>32</v>
      </c>
      <c r="D147" s="8" t="s">
        <v>9</v>
      </c>
      <c r="E147" s="14" t="s">
        <v>104</v>
      </c>
      <c r="F147" s="8"/>
      <c r="G147" s="65"/>
      <c r="H147" s="66"/>
      <c r="I147" s="71"/>
      <c r="J147" s="76"/>
      <c r="K147" s="76"/>
      <c r="L147" s="56">
        <f>L148</f>
        <v>425.05016</v>
      </c>
      <c r="M147" s="101">
        <f>M148</f>
        <v>425.05016</v>
      </c>
    </row>
    <row r="148" spans="1:13" ht="53.25" customHeight="1">
      <c r="A148" s="23"/>
      <c r="B148" s="4" t="s">
        <v>260</v>
      </c>
      <c r="C148" s="8" t="s">
        <v>32</v>
      </c>
      <c r="D148" s="8" t="s">
        <v>9</v>
      </c>
      <c r="E148" s="14" t="s">
        <v>105</v>
      </c>
      <c r="F148" s="8" t="s">
        <v>14</v>
      </c>
      <c r="G148" s="65"/>
      <c r="H148" s="66"/>
      <c r="I148" s="71"/>
      <c r="J148" s="56">
        <v>0</v>
      </c>
      <c r="K148" s="56">
        <v>0</v>
      </c>
      <c r="L148" s="56">
        <v>425.05016</v>
      </c>
      <c r="M148" s="101">
        <v>425.05016</v>
      </c>
    </row>
    <row r="149" spans="1:13" ht="84.75" customHeight="1">
      <c r="A149" s="23"/>
      <c r="B149" s="4" t="s">
        <v>285</v>
      </c>
      <c r="C149" s="8" t="s">
        <v>32</v>
      </c>
      <c r="D149" s="8" t="s">
        <v>9</v>
      </c>
      <c r="E149" s="14" t="s">
        <v>72</v>
      </c>
      <c r="F149" s="8"/>
      <c r="G149" s="73">
        <f aca="true" t="shared" si="54" ref="G149:L149">G150+G153+G155+G157</f>
        <v>3635</v>
      </c>
      <c r="H149" s="74">
        <f t="shared" si="54"/>
        <v>5075.6</v>
      </c>
      <c r="I149" s="74">
        <f t="shared" si="54"/>
        <v>5075.6</v>
      </c>
      <c r="J149" s="74">
        <f t="shared" si="54"/>
        <v>5040</v>
      </c>
      <c r="K149" s="74">
        <f t="shared" si="54"/>
        <v>5040</v>
      </c>
      <c r="L149" s="75">
        <f t="shared" si="54"/>
        <v>4641.01166</v>
      </c>
      <c r="M149" s="101">
        <f>M150+M153+M155+M157</f>
        <v>-398.98834</v>
      </c>
    </row>
    <row r="150" spans="1:13" ht="18" customHeight="1">
      <c r="A150" s="23"/>
      <c r="B150" s="5" t="s">
        <v>82</v>
      </c>
      <c r="C150" s="8" t="s">
        <v>32</v>
      </c>
      <c r="D150" s="8" t="s">
        <v>9</v>
      </c>
      <c r="E150" s="14" t="s">
        <v>149</v>
      </c>
      <c r="F150" s="8"/>
      <c r="G150" s="73">
        <f>G151</f>
        <v>2185</v>
      </c>
      <c r="H150" s="74">
        <f aca="true" t="shared" si="55" ref="H150:M150">H151+H152</f>
        <v>3490</v>
      </c>
      <c r="I150" s="74">
        <f t="shared" si="55"/>
        <v>3490</v>
      </c>
      <c r="J150" s="77">
        <f t="shared" si="55"/>
        <v>3490</v>
      </c>
      <c r="K150" s="77">
        <f t="shared" si="55"/>
        <v>3490</v>
      </c>
      <c r="L150" s="75">
        <f t="shared" si="55"/>
        <v>3389.6950100000004</v>
      </c>
      <c r="M150" s="101">
        <f t="shared" si="55"/>
        <v>-100.30498999999999</v>
      </c>
    </row>
    <row r="151" spans="1:13" ht="31.5">
      <c r="A151" s="23"/>
      <c r="B151" s="4" t="s">
        <v>286</v>
      </c>
      <c r="C151" s="8" t="s">
        <v>32</v>
      </c>
      <c r="D151" s="8" t="s">
        <v>9</v>
      </c>
      <c r="E151" s="14" t="s">
        <v>150</v>
      </c>
      <c r="F151" s="8" t="s">
        <v>14</v>
      </c>
      <c r="G151" s="73">
        <f>3185-1000</f>
        <v>2185</v>
      </c>
      <c r="H151" s="74">
        <f>3185-1000+1285</f>
        <v>3470</v>
      </c>
      <c r="I151" s="74">
        <f>3185-1000+1285-0.42861</f>
        <v>3469.57139</v>
      </c>
      <c r="J151" s="75">
        <f>3185-1000+1285-0.42861-3.29616</f>
        <v>3466.27523</v>
      </c>
      <c r="K151" s="75">
        <f>3185-1000+1285-0.42861-3.29616</f>
        <v>3466.27523</v>
      </c>
      <c r="L151" s="108">
        <f>3185-1000+1285-0.42861-3.29616-100.24284-4.1</f>
        <v>3361.9323900000004</v>
      </c>
      <c r="M151" s="101">
        <v>-104.34284</v>
      </c>
    </row>
    <row r="152" spans="1:13" ht="30.75" customHeight="1">
      <c r="A152" s="23"/>
      <c r="B152" s="4" t="s">
        <v>301</v>
      </c>
      <c r="C152" s="8" t="s">
        <v>32</v>
      </c>
      <c r="D152" s="8" t="s">
        <v>9</v>
      </c>
      <c r="E152" s="14" t="s">
        <v>150</v>
      </c>
      <c r="F152" s="8" t="s">
        <v>15</v>
      </c>
      <c r="G152" s="73"/>
      <c r="H152" s="74">
        <v>20</v>
      </c>
      <c r="I152" s="74">
        <f>20+0.42861</f>
        <v>20.42861</v>
      </c>
      <c r="J152" s="75">
        <f>20+0.42861+3.29616</f>
        <v>23.72477</v>
      </c>
      <c r="K152" s="75">
        <f>20+0.42861+3.29616</f>
        <v>23.72477</v>
      </c>
      <c r="L152" s="108">
        <f>20+0.42861+3.29616+4.03785</f>
        <v>27.76262</v>
      </c>
      <c r="M152" s="101">
        <v>4.03785</v>
      </c>
    </row>
    <row r="153" spans="1:13" ht="37.5" customHeight="1">
      <c r="A153" s="23"/>
      <c r="B153" s="5" t="s">
        <v>151</v>
      </c>
      <c r="C153" s="8" t="s">
        <v>32</v>
      </c>
      <c r="D153" s="8" t="s">
        <v>9</v>
      </c>
      <c r="E153" s="14" t="s">
        <v>152</v>
      </c>
      <c r="F153" s="8"/>
      <c r="G153" s="73">
        <f aca="true" t="shared" si="56" ref="G153:L153">G154</f>
        <v>100</v>
      </c>
      <c r="H153" s="74">
        <f t="shared" si="56"/>
        <v>100</v>
      </c>
      <c r="I153" s="74">
        <f t="shared" si="56"/>
        <v>100</v>
      </c>
      <c r="J153" s="74">
        <f t="shared" si="56"/>
        <v>100</v>
      </c>
      <c r="K153" s="74">
        <f t="shared" si="56"/>
        <v>100</v>
      </c>
      <c r="L153" s="75">
        <f t="shared" si="56"/>
        <v>0</v>
      </c>
      <c r="M153" s="101">
        <f>M154</f>
        <v>-100</v>
      </c>
    </row>
    <row r="154" spans="1:13" ht="33" customHeight="1">
      <c r="A154" s="23"/>
      <c r="B154" s="4" t="s">
        <v>300</v>
      </c>
      <c r="C154" s="8" t="s">
        <v>32</v>
      </c>
      <c r="D154" s="8" t="s">
        <v>9</v>
      </c>
      <c r="E154" s="14" t="s">
        <v>153</v>
      </c>
      <c r="F154" s="8" t="s">
        <v>14</v>
      </c>
      <c r="G154" s="73">
        <v>100</v>
      </c>
      <c r="H154" s="74">
        <v>100</v>
      </c>
      <c r="I154" s="74">
        <v>100</v>
      </c>
      <c r="J154" s="74">
        <v>100</v>
      </c>
      <c r="K154" s="74">
        <v>100</v>
      </c>
      <c r="L154" s="75">
        <f>100-100</f>
        <v>0</v>
      </c>
      <c r="M154" s="101">
        <v>-100</v>
      </c>
    </row>
    <row r="155" spans="1:13" ht="35.25" customHeight="1">
      <c r="A155" s="23"/>
      <c r="B155" s="5" t="s">
        <v>81</v>
      </c>
      <c r="C155" s="8" t="s">
        <v>32</v>
      </c>
      <c r="D155" s="8" t="s">
        <v>9</v>
      </c>
      <c r="E155" s="14" t="s">
        <v>154</v>
      </c>
      <c r="F155" s="8"/>
      <c r="G155" s="73">
        <v>850</v>
      </c>
      <c r="H155" s="74">
        <f aca="true" t="shared" si="57" ref="H155:M155">H156</f>
        <v>985.6</v>
      </c>
      <c r="I155" s="74">
        <f t="shared" si="57"/>
        <v>985.6</v>
      </c>
      <c r="J155" s="74">
        <f t="shared" si="57"/>
        <v>850</v>
      </c>
      <c r="K155" s="74">
        <f t="shared" si="57"/>
        <v>850</v>
      </c>
      <c r="L155" s="108">
        <f t="shared" si="57"/>
        <v>771.31665</v>
      </c>
      <c r="M155" s="101">
        <f t="shared" si="57"/>
        <v>-78.68335</v>
      </c>
    </row>
    <row r="156" spans="1:13" ht="39" customHeight="1">
      <c r="A156" s="23"/>
      <c r="B156" s="4" t="s">
        <v>287</v>
      </c>
      <c r="C156" s="8" t="s">
        <v>32</v>
      </c>
      <c r="D156" s="8" t="s">
        <v>9</v>
      </c>
      <c r="E156" s="14" t="s">
        <v>155</v>
      </c>
      <c r="F156" s="8" t="s">
        <v>14</v>
      </c>
      <c r="G156" s="73">
        <v>850</v>
      </c>
      <c r="H156" s="74">
        <f>850+135.6</f>
        <v>985.6</v>
      </c>
      <c r="I156" s="74">
        <f>850+135.6</f>
        <v>985.6</v>
      </c>
      <c r="J156" s="74">
        <f>850+135.6-135.6</f>
        <v>850</v>
      </c>
      <c r="K156" s="74">
        <f>850+135.6-135.6</f>
        <v>850</v>
      </c>
      <c r="L156" s="75">
        <f>850+135.6-135.6-5.79-72.89335</f>
        <v>771.31665</v>
      </c>
      <c r="M156" s="101">
        <v>-78.68335</v>
      </c>
    </row>
    <row r="157" spans="1:13" ht="36.75" customHeight="1">
      <c r="A157" s="23"/>
      <c r="B157" s="5" t="s">
        <v>83</v>
      </c>
      <c r="C157" s="8" t="s">
        <v>32</v>
      </c>
      <c r="D157" s="8" t="s">
        <v>9</v>
      </c>
      <c r="E157" s="14" t="s">
        <v>156</v>
      </c>
      <c r="F157" s="8"/>
      <c r="G157" s="73">
        <f aca="true" t="shared" si="58" ref="G157:L157">G158</f>
        <v>500</v>
      </c>
      <c r="H157" s="74">
        <f t="shared" si="58"/>
        <v>500</v>
      </c>
      <c r="I157" s="74">
        <f t="shared" si="58"/>
        <v>500</v>
      </c>
      <c r="J157" s="74">
        <f t="shared" si="58"/>
        <v>600</v>
      </c>
      <c r="K157" s="74">
        <f t="shared" si="58"/>
        <v>600</v>
      </c>
      <c r="L157" s="108">
        <f t="shared" si="58"/>
        <v>480</v>
      </c>
      <c r="M157" s="101">
        <f>M158</f>
        <v>-120</v>
      </c>
    </row>
    <row r="158" spans="1:16" ht="41.25" customHeight="1">
      <c r="A158" s="23"/>
      <c r="B158" s="4" t="s">
        <v>288</v>
      </c>
      <c r="C158" s="8" t="s">
        <v>32</v>
      </c>
      <c r="D158" s="8" t="s">
        <v>9</v>
      </c>
      <c r="E158" s="14" t="s">
        <v>157</v>
      </c>
      <c r="F158" s="8" t="s">
        <v>14</v>
      </c>
      <c r="G158" s="73">
        <v>500</v>
      </c>
      <c r="H158" s="74">
        <v>500</v>
      </c>
      <c r="I158" s="74">
        <v>500</v>
      </c>
      <c r="J158" s="74">
        <f>500+100</f>
        <v>600</v>
      </c>
      <c r="K158" s="74">
        <f>500+100</f>
        <v>600</v>
      </c>
      <c r="L158" s="75">
        <f>500+100-120</f>
        <v>480</v>
      </c>
      <c r="M158" s="101">
        <v>-120</v>
      </c>
      <c r="O158" s="61"/>
      <c r="P158" s="61"/>
    </row>
    <row r="159" spans="1:16" ht="68.25" customHeight="1">
      <c r="A159" s="23"/>
      <c r="B159" s="4" t="s">
        <v>289</v>
      </c>
      <c r="C159" s="8" t="s">
        <v>32</v>
      </c>
      <c r="D159" s="8" t="s">
        <v>9</v>
      </c>
      <c r="E159" s="14" t="s">
        <v>52</v>
      </c>
      <c r="F159" s="8"/>
      <c r="G159" s="73">
        <f aca="true" t="shared" si="59" ref="G159:L159">G160+G162</f>
        <v>480</v>
      </c>
      <c r="H159" s="74">
        <f t="shared" si="59"/>
        <v>0</v>
      </c>
      <c r="I159" s="74">
        <f t="shared" si="59"/>
        <v>0</v>
      </c>
      <c r="J159" s="74">
        <f t="shared" si="59"/>
        <v>0</v>
      </c>
      <c r="K159" s="74">
        <f t="shared" si="59"/>
        <v>3000</v>
      </c>
      <c r="L159" s="75">
        <f t="shared" si="59"/>
        <v>2960.14893</v>
      </c>
      <c r="M159" s="101">
        <f>M162+M164</f>
        <v>-206.50884000000002</v>
      </c>
      <c r="N159" s="60"/>
      <c r="O159" s="61"/>
      <c r="P159" s="61"/>
    </row>
    <row r="160" spans="1:13" ht="37.5" customHeight="1" hidden="1">
      <c r="A160" s="23"/>
      <c r="B160" s="4" t="s">
        <v>158</v>
      </c>
      <c r="C160" s="8" t="s">
        <v>32</v>
      </c>
      <c r="D160" s="8" t="s">
        <v>9</v>
      </c>
      <c r="E160" s="14" t="s">
        <v>159</v>
      </c>
      <c r="F160" s="8"/>
      <c r="G160" s="73">
        <f aca="true" t="shared" si="60" ref="G160:L160">G161</f>
        <v>320</v>
      </c>
      <c r="H160" s="74">
        <f t="shared" si="60"/>
        <v>0</v>
      </c>
      <c r="I160" s="74">
        <f t="shared" si="60"/>
        <v>0</v>
      </c>
      <c r="J160" s="74">
        <f t="shared" si="60"/>
        <v>0</v>
      </c>
      <c r="K160" s="74">
        <f t="shared" si="60"/>
        <v>0</v>
      </c>
      <c r="L160" s="75">
        <f t="shared" si="60"/>
        <v>0</v>
      </c>
      <c r="M160" s="101">
        <f>L160-K160</f>
        <v>0</v>
      </c>
    </row>
    <row r="161" spans="1:13" ht="37.5" customHeight="1" hidden="1">
      <c r="A161" s="23"/>
      <c r="B161" s="4" t="s">
        <v>290</v>
      </c>
      <c r="C161" s="8" t="s">
        <v>32</v>
      </c>
      <c r="D161" s="8" t="s">
        <v>9</v>
      </c>
      <c r="E161" s="14" t="s">
        <v>160</v>
      </c>
      <c r="F161" s="8" t="s">
        <v>14</v>
      </c>
      <c r="G161" s="73">
        <v>320</v>
      </c>
      <c r="H161" s="74">
        <f>320-320</f>
        <v>0</v>
      </c>
      <c r="I161" s="74">
        <f>320-320</f>
        <v>0</v>
      </c>
      <c r="J161" s="74">
        <f>320-320</f>
        <v>0</v>
      </c>
      <c r="K161" s="74">
        <f>320-320</f>
        <v>0</v>
      </c>
      <c r="L161" s="75">
        <f>320-320</f>
        <v>0</v>
      </c>
      <c r="M161" s="101">
        <f>L161-K161</f>
        <v>0</v>
      </c>
    </row>
    <row r="162" spans="1:13" ht="33.75" customHeight="1">
      <c r="A162" s="23"/>
      <c r="B162" s="4" t="s">
        <v>161</v>
      </c>
      <c r="C162" s="8" t="s">
        <v>32</v>
      </c>
      <c r="D162" s="8" t="s">
        <v>9</v>
      </c>
      <c r="E162" s="14" t="s">
        <v>162</v>
      </c>
      <c r="F162" s="8"/>
      <c r="G162" s="73">
        <f aca="true" t="shared" si="61" ref="G162:L162">G163</f>
        <v>160</v>
      </c>
      <c r="H162" s="74">
        <f t="shared" si="61"/>
        <v>0</v>
      </c>
      <c r="I162" s="74">
        <f t="shared" si="61"/>
        <v>0</v>
      </c>
      <c r="J162" s="74">
        <f t="shared" si="61"/>
        <v>0</v>
      </c>
      <c r="K162" s="74">
        <f t="shared" si="61"/>
        <v>3000</v>
      </c>
      <c r="L162" s="75">
        <f t="shared" si="61"/>
        <v>2960.14893</v>
      </c>
      <c r="M162" s="101">
        <f>M163</f>
        <v>-39.85107</v>
      </c>
    </row>
    <row r="163" spans="1:13" ht="36.75" customHeight="1">
      <c r="A163" s="23"/>
      <c r="B163" s="4" t="s">
        <v>291</v>
      </c>
      <c r="C163" s="8" t="s">
        <v>32</v>
      </c>
      <c r="D163" s="8" t="s">
        <v>9</v>
      </c>
      <c r="E163" s="14" t="s">
        <v>163</v>
      </c>
      <c r="F163" s="8" t="s">
        <v>14</v>
      </c>
      <c r="G163" s="73">
        <v>160</v>
      </c>
      <c r="H163" s="74">
        <f>160-160</f>
        <v>0</v>
      </c>
      <c r="I163" s="74">
        <f>160-160</f>
        <v>0</v>
      </c>
      <c r="J163" s="74">
        <f>160-160</f>
        <v>0</v>
      </c>
      <c r="K163" s="74">
        <f>160-160+3000</f>
        <v>3000</v>
      </c>
      <c r="L163" s="75">
        <f>160-160+3000-39.85107</f>
        <v>2960.14893</v>
      </c>
      <c r="M163" s="101">
        <v>-39.85107</v>
      </c>
    </row>
    <row r="164" spans="1:13" ht="36" customHeight="1">
      <c r="A164" s="23"/>
      <c r="B164" s="4" t="s">
        <v>218</v>
      </c>
      <c r="C164" s="8" t="s">
        <v>32</v>
      </c>
      <c r="D164" s="8" t="s">
        <v>9</v>
      </c>
      <c r="E164" s="14" t="s">
        <v>219</v>
      </c>
      <c r="F164" s="8"/>
      <c r="G164" s="133">
        <f>G165+G167</f>
        <v>0</v>
      </c>
      <c r="H164" s="74">
        <f>H165+H167</f>
        <v>5416.53</v>
      </c>
      <c r="I164" s="75">
        <f>I165+I167</f>
        <v>5455.0248599999995</v>
      </c>
      <c r="J164" s="75">
        <f>J165+J167</f>
        <v>5790.62486</v>
      </c>
      <c r="K164" s="75">
        <f>K165+K167</f>
        <v>10790.62486</v>
      </c>
      <c r="L164" s="75">
        <f>L165+L167+L166</f>
        <v>10623.96709</v>
      </c>
      <c r="M164" s="101">
        <f>M165+M166+M167</f>
        <v>-166.65777000000003</v>
      </c>
    </row>
    <row r="165" spans="1:13" ht="78.75">
      <c r="A165" s="23"/>
      <c r="B165" s="4" t="s">
        <v>220</v>
      </c>
      <c r="C165" s="8" t="s">
        <v>32</v>
      </c>
      <c r="D165" s="8" t="s">
        <v>9</v>
      </c>
      <c r="E165" s="14" t="s">
        <v>221</v>
      </c>
      <c r="F165" s="8" t="s">
        <v>14</v>
      </c>
      <c r="G165" s="135" t="s">
        <v>217</v>
      </c>
      <c r="H165" s="74">
        <v>4816.53</v>
      </c>
      <c r="I165" s="75">
        <f>4816.53-0.00421</f>
        <v>4816.52579</v>
      </c>
      <c r="J165" s="75">
        <f>4816.53-0.00421</f>
        <v>4816.52579</v>
      </c>
      <c r="K165" s="75">
        <f>4816.53-0.00421</f>
        <v>4816.52579</v>
      </c>
      <c r="L165" s="75">
        <f>4816.53-0.00421-4816.52579</f>
        <v>0</v>
      </c>
      <c r="M165" s="101">
        <v>-4816.52579</v>
      </c>
    </row>
    <row r="166" spans="1:13" ht="84" customHeight="1">
      <c r="A166" s="23"/>
      <c r="B166" s="4" t="s">
        <v>220</v>
      </c>
      <c r="C166" s="8" t="s">
        <v>32</v>
      </c>
      <c r="D166" s="8" t="s">
        <v>9</v>
      </c>
      <c r="E166" s="14" t="s">
        <v>256</v>
      </c>
      <c r="F166" s="8" t="s">
        <v>14</v>
      </c>
      <c r="G166" s="135" t="s">
        <v>217</v>
      </c>
      <c r="H166" s="74">
        <v>0</v>
      </c>
      <c r="I166" s="75">
        <v>0</v>
      </c>
      <c r="J166" s="75">
        <v>0</v>
      </c>
      <c r="K166" s="75">
        <v>0</v>
      </c>
      <c r="L166" s="108">
        <f>4816.52579+600</f>
        <v>5416.52579</v>
      </c>
      <c r="M166" s="101">
        <v>5416.52579</v>
      </c>
    </row>
    <row r="167" spans="1:13" ht="66.75" customHeight="1">
      <c r="A167" s="23"/>
      <c r="B167" s="4" t="s">
        <v>222</v>
      </c>
      <c r="C167" s="8" t="s">
        <v>32</v>
      </c>
      <c r="D167" s="8" t="s">
        <v>9</v>
      </c>
      <c r="E167" s="14" t="s">
        <v>223</v>
      </c>
      <c r="F167" s="8" t="s">
        <v>14</v>
      </c>
      <c r="G167" s="135" t="s">
        <v>217</v>
      </c>
      <c r="H167" s="74">
        <v>600</v>
      </c>
      <c r="I167" s="75">
        <f>600+38.49907</f>
        <v>638.49907</v>
      </c>
      <c r="J167" s="75">
        <f>600+38.49907+135.6+200</f>
        <v>974.09907</v>
      </c>
      <c r="K167" s="75">
        <f>600+38.49907+135.6+200+5000</f>
        <v>5974.09907</v>
      </c>
      <c r="L167" s="75">
        <f>600+38.49907+135.6+200+5000-453.69747-312.9603</f>
        <v>5207.4413</v>
      </c>
      <c r="M167" s="101">
        <v>-766.65777</v>
      </c>
    </row>
    <row r="168" spans="1:13" ht="15.75">
      <c r="A168" s="23"/>
      <c r="B168" s="4" t="s">
        <v>57</v>
      </c>
      <c r="C168" s="8" t="s">
        <v>32</v>
      </c>
      <c r="D168" s="8" t="s">
        <v>9</v>
      </c>
      <c r="E168" s="14" t="s">
        <v>6</v>
      </c>
      <c r="F168" s="8"/>
      <c r="G168" s="25">
        <f aca="true" t="shared" si="62" ref="G168:L169">G169</f>
        <v>1380</v>
      </c>
      <c r="H168" s="49">
        <f t="shared" si="62"/>
        <v>2000</v>
      </c>
      <c r="I168" s="49">
        <f t="shared" si="62"/>
        <v>2000</v>
      </c>
      <c r="J168" s="49">
        <f t="shared" si="62"/>
        <v>2000</v>
      </c>
      <c r="K168" s="49">
        <f t="shared" si="62"/>
        <v>2000</v>
      </c>
      <c r="L168" s="56">
        <f t="shared" si="62"/>
        <v>1314.58162</v>
      </c>
      <c r="M168" s="101">
        <f>M169</f>
        <v>-685.41838</v>
      </c>
    </row>
    <row r="169" spans="1:13" ht="15.75">
      <c r="A169" s="23"/>
      <c r="B169" s="4" t="s">
        <v>116</v>
      </c>
      <c r="C169" s="8" t="s">
        <v>32</v>
      </c>
      <c r="D169" s="8" t="s">
        <v>9</v>
      </c>
      <c r="E169" s="14" t="s">
        <v>12</v>
      </c>
      <c r="F169" s="8"/>
      <c r="G169" s="25">
        <f t="shared" si="62"/>
        <v>1380</v>
      </c>
      <c r="H169" s="49">
        <f t="shared" si="62"/>
        <v>2000</v>
      </c>
      <c r="I169" s="49">
        <f t="shared" si="62"/>
        <v>2000</v>
      </c>
      <c r="J169" s="49">
        <f t="shared" si="62"/>
        <v>2000</v>
      </c>
      <c r="K169" s="49">
        <f t="shared" si="62"/>
        <v>2000</v>
      </c>
      <c r="L169" s="56">
        <f t="shared" si="62"/>
        <v>1314.58162</v>
      </c>
      <c r="M169" s="101">
        <f>M170</f>
        <v>-685.41838</v>
      </c>
    </row>
    <row r="170" spans="1:13" ht="51.75" customHeight="1">
      <c r="A170" s="23"/>
      <c r="B170" s="5" t="s">
        <v>292</v>
      </c>
      <c r="C170" s="8" t="s">
        <v>32</v>
      </c>
      <c r="D170" s="8" t="s">
        <v>9</v>
      </c>
      <c r="E170" s="14" t="s">
        <v>165</v>
      </c>
      <c r="F170" s="8" t="s">
        <v>14</v>
      </c>
      <c r="G170" s="73">
        <f>2380-1000</f>
        <v>1380</v>
      </c>
      <c r="H170" s="74">
        <f>2380-1000+620</f>
        <v>2000</v>
      </c>
      <c r="I170" s="74">
        <f>2380-1000+620</f>
        <v>2000</v>
      </c>
      <c r="J170" s="74">
        <f>2380-1000+620</f>
        <v>2000</v>
      </c>
      <c r="K170" s="74">
        <f>2380-1000+620</f>
        <v>2000</v>
      </c>
      <c r="L170" s="75">
        <f>2380-1000+620-99.31-586.10838</f>
        <v>1314.58162</v>
      </c>
      <c r="M170" s="101">
        <v>-685.41838</v>
      </c>
    </row>
    <row r="171" spans="1:13" ht="38.25" customHeight="1">
      <c r="A171" s="23"/>
      <c r="B171" s="34" t="s">
        <v>36</v>
      </c>
      <c r="C171" s="63" t="s">
        <v>32</v>
      </c>
      <c r="D171" s="63" t="s">
        <v>32</v>
      </c>
      <c r="E171" s="64"/>
      <c r="F171" s="63"/>
      <c r="G171" s="69">
        <f aca="true" t="shared" si="63" ref="G171:L171">G172</f>
        <v>1727.7</v>
      </c>
      <c r="H171" s="78">
        <f t="shared" si="63"/>
        <v>1727.7</v>
      </c>
      <c r="I171" s="67">
        <f t="shared" si="63"/>
        <v>1727.7</v>
      </c>
      <c r="J171" s="67">
        <f t="shared" si="63"/>
        <v>1727.7</v>
      </c>
      <c r="K171" s="67">
        <f t="shared" si="63"/>
        <v>1727.7</v>
      </c>
      <c r="L171" s="68">
        <f t="shared" si="63"/>
        <v>1640.9707</v>
      </c>
      <c r="M171" s="87">
        <f>M172</f>
        <v>-86.7293</v>
      </c>
    </row>
    <row r="172" spans="1:13" ht="78.75">
      <c r="A172" s="23"/>
      <c r="B172" s="4" t="s">
        <v>303</v>
      </c>
      <c r="C172" s="8" t="s">
        <v>32</v>
      </c>
      <c r="D172" s="8" t="s">
        <v>32</v>
      </c>
      <c r="E172" s="14" t="s">
        <v>5</v>
      </c>
      <c r="F172" s="8"/>
      <c r="G172" s="25">
        <f aca="true" t="shared" si="64" ref="G172:L172">G174</f>
        <v>1727.7</v>
      </c>
      <c r="H172" s="49">
        <f t="shared" si="64"/>
        <v>1727.7</v>
      </c>
      <c r="I172" s="49">
        <f t="shared" si="64"/>
        <v>1727.7</v>
      </c>
      <c r="J172" s="49">
        <f t="shared" si="64"/>
        <v>1727.7</v>
      </c>
      <c r="K172" s="49">
        <f t="shared" si="64"/>
        <v>1727.7</v>
      </c>
      <c r="L172" s="56">
        <f t="shared" si="64"/>
        <v>1640.9707</v>
      </c>
      <c r="M172" s="101">
        <f>M173</f>
        <v>-86.7293</v>
      </c>
    </row>
    <row r="173" spans="1:13" ht="33.75" customHeight="1">
      <c r="A173" s="23"/>
      <c r="B173" s="18" t="s">
        <v>140</v>
      </c>
      <c r="C173" s="8" t="s">
        <v>32</v>
      </c>
      <c r="D173" s="8" t="s">
        <v>32</v>
      </c>
      <c r="E173" s="14" t="s">
        <v>101</v>
      </c>
      <c r="F173" s="8"/>
      <c r="G173" s="25">
        <f aca="true" t="shared" si="65" ref="G173:L173">G174</f>
        <v>1727.7</v>
      </c>
      <c r="H173" s="49">
        <f t="shared" si="65"/>
        <v>1727.7</v>
      </c>
      <c r="I173" s="49">
        <f t="shared" si="65"/>
        <v>1727.7</v>
      </c>
      <c r="J173" s="49">
        <f t="shared" si="65"/>
        <v>1727.7</v>
      </c>
      <c r="K173" s="49">
        <f t="shared" si="65"/>
        <v>1727.7</v>
      </c>
      <c r="L173" s="56">
        <f t="shared" si="65"/>
        <v>1640.9707</v>
      </c>
      <c r="M173" s="101">
        <f>M174</f>
        <v>-86.7293</v>
      </c>
    </row>
    <row r="174" spans="1:13" ht="141.75">
      <c r="A174" s="23"/>
      <c r="B174" s="18" t="s">
        <v>102</v>
      </c>
      <c r="C174" s="8" t="s">
        <v>32</v>
      </c>
      <c r="D174" s="8" t="s">
        <v>32</v>
      </c>
      <c r="E174" s="14" t="s">
        <v>103</v>
      </c>
      <c r="F174" s="8" t="s">
        <v>8</v>
      </c>
      <c r="G174" s="73">
        <v>1727.7</v>
      </c>
      <c r="H174" s="74">
        <v>1727.7</v>
      </c>
      <c r="I174" s="74">
        <v>1727.7</v>
      </c>
      <c r="J174" s="74">
        <v>1727.7</v>
      </c>
      <c r="K174" s="74">
        <v>1727.7</v>
      </c>
      <c r="L174" s="75">
        <f>1727.7-69.14543-17.58387</f>
        <v>1640.9707</v>
      </c>
      <c r="M174" s="101">
        <v>-86.7293</v>
      </c>
    </row>
    <row r="175" spans="1:13" ht="15.75">
      <c r="A175" s="23"/>
      <c r="B175" s="39" t="s">
        <v>73</v>
      </c>
      <c r="C175" s="63" t="s">
        <v>72</v>
      </c>
      <c r="D175" s="8"/>
      <c r="E175" s="14"/>
      <c r="F175" s="8"/>
      <c r="G175" s="69">
        <f aca="true" t="shared" si="66" ref="G175:L178">G176</f>
        <v>100</v>
      </c>
      <c r="H175" s="78">
        <f t="shared" si="66"/>
        <v>100</v>
      </c>
      <c r="I175" s="78">
        <f t="shared" si="66"/>
        <v>100</v>
      </c>
      <c r="J175" s="67">
        <f t="shared" si="66"/>
        <v>100</v>
      </c>
      <c r="K175" s="67">
        <f t="shared" si="66"/>
        <v>100</v>
      </c>
      <c r="L175" s="68">
        <f t="shared" si="66"/>
        <v>0</v>
      </c>
      <c r="M175" s="87">
        <f>L175-K175</f>
        <v>-100</v>
      </c>
    </row>
    <row r="176" spans="1:13" ht="34.5" customHeight="1">
      <c r="A176" s="23"/>
      <c r="B176" s="6" t="s">
        <v>74</v>
      </c>
      <c r="C176" s="8" t="s">
        <v>72</v>
      </c>
      <c r="D176" s="8" t="s">
        <v>32</v>
      </c>
      <c r="E176" s="14"/>
      <c r="F176" s="8"/>
      <c r="G176" s="25">
        <f t="shared" si="66"/>
        <v>100</v>
      </c>
      <c r="H176" s="49">
        <f t="shared" si="66"/>
        <v>100</v>
      </c>
      <c r="I176" s="49">
        <f t="shared" si="66"/>
        <v>100</v>
      </c>
      <c r="J176" s="49">
        <f t="shared" si="66"/>
        <v>100</v>
      </c>
      <c r="K176" s="49">
        <f t="shared" si="66"/>
        <v>100</v>
      </c>
      <c r="L176" s="56">
        <f t="shared" si="66"/>
        <v>0</v>
      </c>
      <c r="M176" s="101">
        <f>L176-K176</f>
        <v>-100</v>
      </c>
    </row>
    <row r="177" spans="1:13" ht="82.5" customHeight="1">
      <c r="A177" s="23"/>
      <c r="B177" s="4" t="s">
        <v>285</v>
      </c>
      <c r="C177" s="8" t="s">
        <v>72</v>
      </c>
      <c r="D177" s="8" t="s">
        <v>32</v>
      </c>
      <c r="E177" s="14" t="s">
        <v>72</v>
      </c>
      <c r="F177" s="8"/>
      <c r="G177" s="25">
        <f t="shared" si="66"/>
        <v>100</v>
      </c>
      <c r="H177" s="49">
        <f t="shared" si="66"/>
        <v>100</v>
      </c>
      <c r="I177" s="49">
        <f t="shared" si="66"/>
        <v>100</v>
      </c>
      <c r="J177" s="49">
        <f t="shared" si="66"/>
        <v>100</v>
      </c>
      <c r="K177" s="49">
        <f t="shared" si="66"/>
        <v>100</v>
      </c>
      <c r="L177" s="56">
        <f t="shared" si="66"/>
        <v>0</v>
      </c>
      <c r="M177" s="101">
        <f>M178</f>
        <v>-100</v>
      </c>
    </row>
    <row r="178" spans="1:13" ht="38.25" customHeight="1">
      <c r="A178" s="23"/>
      <c r="B178" s="6" t="s">
        <v>75</v>
      </c>
      <c r="C178" s="8" t="s">
        <v>72</v>
      </c>
      <c r="D178" s="8" t="s">
        <v>32</v>
      </c>
      <c r="E178" s="14" t="s">
        <v>166</v>
      </c>
      <c r="F178" s="8"/>
      <c r="G178" s="25">
        <f t="shared" si="66"/>
        <v>100</v>
      </c>
      <c r="H178" s="49">
        <f t="shared" si="66"/>
        <v>100</v>
      </c>
      <c r="I178" s="49">
        <f t="shared" si="66"/>
        <v>100</v>
      </c>
      <c r="J178" s="49">
        <f t="shared" si="66"/>
        <v>100</v>
      </c>
      <c r="K178" s="49">
        <f t="shared" si="66"/>
        <v>100</v>
      </c>
      <c r="L178" s="56">
        <f t="shared" si="66"/>
        <v>0</v>
      </c>
      <c r="M178" s="101">
        <f>M179</f>
        <v>-100</v>
      </c>
    </row>
    <row r="179" spans="1:13" ht="37.5" customHeight="1">
      <c r="A179" s="23"/>
      <c r="B179" s="6" t="s">
        <v>293</v>
      </c>
      <c r="C179" s="8" t="s">
        <v>72</v>
      </c>
      <c r="D179" s="8" t="s">
        <v>32</v>
      </c>
      <c r="E179" s="14" t="s">
        <v>167</v>
      </c>
      <c r="F179" s="8" t="s">
        <v>14</v>
      </c>
      <c r="G179" s="73">
        <v>100</v>
      </c>
      <c r="H179" s="74">
        <v>100</v>
      </c>
      <c r="I179" s="74">
        <v>100</v>
      </c>
      <c r="J179" s="74">
        <v>100</v>
      </c>
      <c r="K179" s="74">
        <v>100</v>
      </c>
      <c r="L179" s="75">
        <f>100-50-50</f>
        <v>0</v>
      </c>
      <c r="M179" s="101">
        <v>-100</v>
      </c>
    </row>
    <row r="180" spans="1:13" ht="15.75">
      <c r="A180" s="23"/>
      <c r="B180" s="34" t="s">
        <v>37</v>
      </c>
      <c r="C180" s="63" t="s">
        <v>38</v>
      </c>
      <c r="D180" s="63"/>
      <c r="E180" s="14"/>
      <c r="F180" s="8"/>
      <c r="G180" s="69">
        <f aca="true" t="shared" si="67" ref="G180:L180">G181</f>
        <v>12706.8</v>
      </c>
      <c r="H180" s="78">
        <f t="shared" si="67"/>
        <v>12736.3</v>
      </c>
      <c r="I180" s="128">
        <f t="shared" si="67"/>
        <v>13150.677000000001</v>
      </c>
      <c r="J180" s="128">
        <f t="shared" si="67"/>
        <v>13218.967</v>
      </c>
      <c r="K180" s="128">
        <f t="shared" si="67"/>
        <v>13218.967</v>
      </c>
      <c r="L180" s="79">
        <f t="shared" si="67"/>
        <v>12314.12102</v>
      </c>
      <c r="M180" s="87">
        <f>L180-K180</f>
        <v>-904.84598</v>
      </c>
    </row>
    <row r="181" spans="1:13" ht="15.75">
      <c r="A181" s="23"/>
      <c r="B181" s="40" t="s">
        <v>39</v>
      </c>
      <c r="C181" s="63" t="s">
        <v>38</v>
      </c>
      <c r="D181" s="63" t="s">
        <v>4</v>
      </c>
      <c r="E181" s="64"/>
      <c r="F181" s="63"/>
      <c r="G181" s="69">
        <f aca="true" t="shared" si="68" ref="G181:L181">G186+G192+G182+G189</f>
        <v>12706.8</v>
      </c>
      <c r="H181" s="78">
        <f t="shared" si="68"/>
        <v>12736.3</v>
      </c>
      <c r="I181" s="128">
        <f t="shared" si="68"/>
        <v>13150.677000000001</v>
      </c>
      <c r="J181" s="128">
        <f t="shared" si="68"/>
        <v>13218.967</v>
      </c>
      <c r="K181" s="128">
        <f t="shared" si="68"/>
        <v>13218.967</v>
      </c>
      <c r="L181" s="68">
        <f t="shared" si="68"/>
        <v>12314.12102</v>
      </c>
      <c r="M181" s="87">
        <f>L181-K181</f>
        <v>-904.84598</v>
      </c>
    </row>
    <row r="182" spans="1:13" ht="86.25" customHeight="1">
      <c r="A182" s="23"/>
      <c r="B182" s="26" t="s">
        <v>294</v>
      </c>
      <c r="C182" s="82" t="s">
        <v>38</v>
      </c>
      <c r="D182" s="8" t="s">
        <v>4</v>
      </c>
      <c r="E182" s="14" t="s">
        <v>168</v>
      </c>
      <c r="F182" s="63"/>
      <c r="G182" s="73">
        <f aca="true" t="shared" si="69" ref="G182:L183">G183</f>
        <v>49</v>
      </c>
      <c r="H182" s="74">
        <f t="shared" si="69"/>
        <v>49</v>
      </c>
      <c r="I182" s="74">
        <f t="shared" si="69"/>
        <v>49</v>
      </c>
      <c r="J182" s="74">
        <f t="shared" si="69"/>
        <v>49</v>
      </c>
      <c r="K182" s="74">
        <f t="shared" si="69"/>
        <v>49</v>
      </c>
      <c r="L182" s="75">
        <f t="shared" si="69"/>
        <v>101</v>
      </c>
      <c r="M182" s="101">
        <f>M183</f>
        <v>52</v>
      </c>
    </row>
    <row r="183" spans="1:13" ht="39" customHeight="1">
      <c r="A183" s="23"/>
      <c r="B183" s="26" t="s">
        <v>169</v>
      </c>
      <c r="C183" s="82" t="s">
        <v>38</v>
      </c>
      <c r="D183" s="8" t="s">
        <v>4</v>
      </c>
      <c r="E183" s="14" t="s">
        <v>170</v>
      </c>
      <c r="F183" s="8"/>
      <c r="G183" s="73">
        <f t="shared" si="69"/>
        <v>49</v>
      </c>
      <c r="H183" s="74">
        <f t="shared" si="69"/>
        <v>49</v>
      </c>
      <c r="I183" s="74">
        <f t="shared" si="69"/>
        <v>49</v>
      </c>
      <c r="J183" s="74">
        <f t="shared" si="69"/>
        <v>49</v>
      </c>
      <c r="K183" s="74">
        <f t="shared" si="69"/>
        <v>49</v>
      </c>
      <c r="L183" s="81">
        <f t="shared" si="69"/>
        <v>101</v>
      </c>
      <c r="M183" s="101">
        <f>M184+M185</f>
        <v>52</v>
      </c>
    </row>
    <row r="184" spans="1:13" ht="68.25" customHeight="1">
      <c r="A184" s="23"/>
      <c r="B184" s="26" t="s">
        <v>212</v>
      </c>
      <c r="C184" s="82" t="s">
        <v>38</v>
      </c>
      <c r="D184" s="8" t="s">
        <v>4</v>
      </c>
      <c r="E184" s="14" t="s">
        <v>171</v>
      </c>
      <c r="F184" s="8" t="s">
        <v>34</v>
      </c>
      <c r="G184" s="73">
        <v>49</v>
      </c>
      <c r="H184" s="74">
        <v>49</v>
      </c>
      <c r="I184" s="74">
        <v>49</v>
      </c>
      <c r="J184" s="74">
        <v>49</v>
      </c>
      <c r="K184" s="74">
        <v>49</v>
      </c>
      <c r="L184" s="75">
        <f>49-11.83+50+8.25+5.58</f>
        <v>101</v>
      </c>
      <c r="M184" s="101">
        <v>38.17</v>
      </c>
    </row>
    <row r="185" spans="1:13" ht="68.25" customHeight="1">
      <c r="A185" s="23"/>
      <c r="B185" s="26" t="s">
        <v>252</v>
      </c>
      <c r="C185" s="82" t="s">
        <v>38</v>
      </c>
      <c r="D185" s="8" t="s">
        <v>4</v>
      </c>
      <c r="E185" s="14" t="s">
        <v>171</v>
      </c>
      <c r="F185" s="8" t="s">
        <v>14</v>
      </c>
      <c r="G185" s="73"/>
      <c r="H185" s="74"/>
      <c r="I185" s="74"/>
      <c r="J185" s="74"/>
      <c r="K185" s="74"/>
      <c r="L185" s="75"/>
      <c r="M185" s="101">
        <v>13.83</v>
      </c>
    </row>
    <row r="186" spans="1:13" ht="78.75">
      <c r="A186" s="23"/>
      <c r="B186" s="4" t="s">
        <v>303</v>
      </c>
      <c r="C186" s="8" t="s">
        <v>38</v>
      </c>
      <c r="D186" s="8" t="s">
        <v>4</v>
      </c>
      <c r="E186" s="14" t="s">
        <v>5</v>
      </c>
      <c r="F186" s="8"/>
      <c r="G186" s="25">
        <f aca="true" t="shared" si="70" ref="G186:L187">G187</f>
        <v>1976.8</v>
      </c>
      <c r="H186" s="49">
        <f t="shared" si="70"/>
        <v>1976.8</v>
      </c>
      <c r="I186" s="49">
        <f t="shared" si="70"/>
        <v>2203.473</v>
      </c>
      <c r="J186" s="139">
        <f t="shared" si="70"/>
        <v>2319.373</v>
      </c>
      <c r="K186" s="139">
        <f t="shared" si="70"/>
        <v>2319.373</v>
      </c>
      <c r="L186" s="81">
        <f t="shared" si="70"/>
        <v>1869.2373400000001</v>
      </c>
      <c r="M186" s="101">
        <f>M187</f>
        <v>-450.13566</v>
      </c>
    </row>
    <row r="187" spans="1:13" ht="39.75" customHeight="1">
      <c r="A187" s="23"/>
      <c r="B187" s="18" t="s">
        <v>140</v>
      </c>
      <c r="C187" s="8" t="s">
        <v>38</v>
      </c>
      <c r="D187" s="8" t="s">
        <v>4</v>
      </c>
      <c r="E187" s="14" t="s">
        <v>101</v>
      </c>
      <c r="F187" s="8"/>
      <c r="G187" s="25">
        <f t="shared" si="70"/>
        <v>1976.8</v>
      </c>
      <c r="H187" s="49">
        <f t="shared" si="70"/>
        <v>1976.8</v>
      </c>
      <c r="I187" s="49">
        <f t="shared" si="70"/>
        <v>2203.473</v>
      </c>
      <c r="J187" s="139">
        <f t="shared" si="70"/>
        <v>2319.373</v>
      </c>
      <c r="K187" s="139">
        <f t="shared" si="70"/>
        <v>2319.373</v>
      </c>
      <c r="L187" s="56">
        <f t="shared" si="70"/>
        <v>1869.2373400000001</v>
      </c>
      <c r="M187" s="101">
        <f>M188</f>
        <v>-450.13566</v>
      </c>
    </row>
    <row r="188" spans="1:13" ht="141.75">
      <c r="A188" s="23"/>
      <c r="B188" s="18" t="s">
        <v>102</v>
      </c>
      <c r="C188" s="8" t="s">
        <v>38</v>
      </c>
      <c r="D188" s="8" t="s">
        <v>4</v>
      </c>
      <c r="E188" s="14" t="s">
        <v>103</v>
      </c>
      <c r="F188" s="8" t="s">
        <v>8</v>
      </c>
      <c r="G188" s="73">
        <v>1976.8</v>
      </c>
      <c r="H188" s="74">
        <v>1976.8</v>
      </c>
      <c r="I188" s="140">
        <f>1976.8+226.673</f>
        <v>2203.473</v>
      </c>
      <c r="J188" s="140">
        <f>1976.8+226.673+115.9</f>
        <v>2319.373</v>
      </c>
      <c r="K188" s="140">
        <f>1976.8+226.673+115.9</f>
        <v>2319.373</v>
      </c>
      <c r="L188" s="75">
        <f>1976.8+226.673+115.9-41.14359-298.09225-6.64268-104.25714</f>
        <v>1869.2373400000001</v>
      </c>
      <c r="M188" s="101">
        <v>-450.13566</v>
      </c>
    </row>
    <row r="189" spans="1:13" ht="94.5">
      <c r="A189" s="23"/>
      <c r="B189" s="35" t="s">
        <v>295</v>
      </c>
      <c r="C189" s="82" t="s">
        <v>38</v>
      </c>
      <c r="D189" s="8" t="s">
        <v>4</v>
      </c>
      <c r="E189" s="14" t="s">
        <v>172</v>
      </c>
      <c r="F189" s="8"/>
      <c r="G189" s="73">
        <f aca="true" t="shared" si="71" ref="G189:L190">G190</f>
        <v>100</v>
      </c>
      <c r="H189" s="74">
        <f t="shared" si="71"/>
        <v>100</v>
      </c>
      <c r="I189" s="74">
        <f t="shared" si="71"/>
        <v>100</v>
      </c>
      <c r="J189" s="74">
        <f t="shared" si="71"/>
        <v>100</v>
      </c>
      <c r="K189" s="74">
        <f t="shared" si="71"/>
        <v>100</v>
      </c>
      <c r="L189" s="81">
        <f t="shared" si="71"/>
        <v>99.14797</v>
      </c>
      <c r="M189" s="101">
        <f>M190</f>
        <v>-0.85203</v>
      </c>
    </row>
    <row r="190" spans="1:13" ht="52.5" customHeight="1">
      <c r="A190" s="23"/>
      <c r="B190" s="35" t="s">
        <v>173</v>
      </c>
      <c r="C190" s="82" t="s">
        <v>38</v>
      </c>
      <c r="D190" s="8" t="s">
        <v>4</v>
      </c>
      <c r="E190" s="14" t="s">
        <v>174</v>
      </c>
      <c r="F190" s="8"/>
      <c r="G190" s="73">
        <f t="shared" si="71"/>
        <v>100</v>
      </c>
      <c r="H190" s="74">
        <f t="shared" si="71"/>
        <v>100</v>
      </c>
      <c r="I190" s="74">
        <f t="shared" si="71"/>
        <v>100</v>
      </c>
      <c r="J190" s="74">
        <f t="shared" si="71"/>
        <v>100</v>
      </c>
      <c r="K190" s="74">
        <f t="shared" si="71"/>
        <v>100</v>
      </c>
      <c r="L190" s="75">
        <f t="shared" si="71"/>
        <v>99.14797</v>
      </c>
      <c r="M190" s="101">
        <f>M191</f>
        <v>-0.85203</v>
      </c>
    </row>
    <row r="191" spans="1:13" ht="82.5" customHeight="1">
      <c r="A191" s="23"/>
      <c r="B191" s="22" t="s">
        <v>211</v>
      </c>
      <c r="C191" s="82" t="s">
        <v>38</v>
      </c>
      <c r="D191" s="8" t="s">
        <v>4</v>
      </c>
      <c r="E191" s="14" t="s">
        <v>175</v>
      </c>
      <c r="F191" s="8" t="s">
        <v>34</v>
      </c>
      <c r="G191" s="73">
        <v>100</v>
      </c>
      <c r="H191" s="74">
        <v>100</v>
      </c>
      <c r="I191" s="74">
        <v>100</v>
      </c>
      <c r="J191" s="74">
        <v>100</v>
      </c>
      <c r="K191" s="74">
        <v>100</v>
      </c>
      <c r="L191" s="75">
        <f>100-0.85203</f>
        <v>99.14797</v>
      </c>
      <c r="M191" s="101">
        <v>-0.85203</v>
      </c>
    </row>
    <row r="192" spans="1:13" ht="15.75">
      <c r="A192" s="23"/>
      <c r="B192" s="11" t="s">
        <v>54</v>
      </c>
      <c r="C192" s="8" t="s">
        <v>38</v>
      </c>
      <c r="D192" s="8" t="s">
        <v>4</v>
      </c>
      <c r="E192" s="14" t="s">
        <v>6</v>
      </c>
      <c r="F192" s="8"/>
      <c r="G192" s="25">
        <f aca="true" t="shared" si="72" ref="G192:L192">G193</f>
        <v>10581</v>
      </c>
      <c r="H192" s="49">
        <f t="shared" si="72"/>
        <v>10610.5</v>
      </c>
      <c r="I192" s="139">
        <f t="shared" si="72"/>
        <v>10798.204000000002</v>
      </c>
      <c r="J192" s="139">
        <f t="shared" si="72"/>
        <v>10750.594000000001</v>
      </c>
      <c r="K192" s="139">
        <f t="shared" si="72"/>
        <v>10750.594000000001</v>
      </c>
      <c r="L192" s="56">
        <f t="shared" si="72"/>
        <v>10244.73571</v>
      </c>
      <c r="M192" s="101">
        <f>M193</f>
        <v>-505.85829</v>
      </c>
    </row>
    <row r="193" spans="1:13" ht="15.75">
      <c r="A193" s="23"/>
      <c r="B193" s="10" t="s">
        <v>116</v>
      </c>
      <c r="C193" s="8" t="s">
        <v>38</v>
      </c>
      <c r="D193" s="8" t="s">
        <v>4</v>
      </c>
      <c r="E193" s="14" t="s">
        <v>55</v>
      </c>
      <c r="F193" s="8"/>
      <c r="G193" s="25">
        <f aca="true" t="shared" si="73" ref="G193:L193">SUM(G194:G197)</f>
        <v>10581</v>
      </c>
      <c r="H193" s="49">
        <f t="shared" si="73"/>
        <v>10610.5</v>
      </c>
      <c r="I193" s="139">
        <f t="shared" si="73"/>
        <v>10798.204000000002</v>
      </c>
      <c r="J193" s="139">
        <f t="shared" si="73"/>
        <v>10750.594000000001</v>
      </c>
      <c r="K193" s="139">
        <f t="shared" si="73"/>
        <v>10750.594000000001</v>
      </c>
      <c r="L193" s="56">
        <f t="shared" si="73"/>
        <v>10244.73571</v>
      </c>
      <c r="M193" s="101">
        <f>M194+M195</f>
        <v>-505.85829</v>
      </c>
    </row>
    <row r="194" spans="1:13" ht="94.5">
      <c r="A194" s="23"/>
      <c r="B194" s="6" t="s">
        <v>176</v>
      </c>
      <c r="C194" s="8" t="s">
        <v>38</v>
      </c>
      <c r="D194" s="8" t="s">
        <v>4</v>
      </c>
      <c r="E194" s="14" t="s">
        <v>177</v>
      </c>
      <c r="F194" s="8" t="s">
        <v>34</v>
      </c>
      <c r="G194" s="73">
        <v>5913.3</v>
      </c>
      <c r="H194" s="74">
        <v>5913.3</v>
      </c>
      <c r="I194" s="74">
        <f>5913.3+143.16</f>
        <v>6056.46</v>
      </c>
      <c r="J194" s="74">
        <f>5913.3+143.16+68.29</f>
        <v>6124.75</v>
      </c>
      <c r="K194" s="74">
        <f>5913.3+143.16+68.29</f>
        <v>6124.75</v>
      </c>
      <c r="L194" s="81">
        <f>5913.3+143.16+68.29-20.961-15.83+27.539-4-11.709-354.71974+27.539</f>
        <v>5772.60826</v>
      </c>
      <c r="M194" s="101">
        <v>-352.14174</v>
      </c>
    </row>
    <row r="195" spans="1:13" ht="94.5">
      <c r="A195" s="23"/>
      <c r="B195" s="19" t="s">
        <v>178</v>
      </c>
      <c r="C195" s="8" t="s">
        <v>38</v>
      </c>
      <c r="D195" s="8" t="s">
        <v>4</v>
      </c>
      <c r="E195" s="14" t="s">
        <v>179</v>
      </c>
      <c r="F195" s="8" t="s">
        <v>34</v>
      </c>
      <c r="G195" s="73">
        <v>1706.1</v>
      </c>
      <c r="H195" s="74">
        <v>1706.1</v>
      </c>
      <c r="I195" s="140">
        <f>1706.1+44.544</f>
        <v>1750.644</v>
      </c>
      <c r="J195" s="140">
        <f>1706.1+44.544-115.9</f>
        <v>1634.744</v>
      </c>
      <c r="K195" s="140">
        <f>1706.1+44.544-115.9</f>
        <v>1634.744</v>
      </c>
      <c r="L195" s="81">
        <f>1706.1+44.544-115.9-153.71655</f>
        <v>1481.0274499999998</v>
      </c>
      <c r="M195" s="101">
        <v>-153.71655</v>
      </c>
    </row>
    <row r="196" spans="1:13" ht="79.5" customHeight="1" hidden="1">
      <c r="A196" s="23"/>
      <c r="B196" s="4" t="s">
        <v>180</v>
      </c>
      <c r="C196" s="8" t="s">
        <v>38</v>
      </c>
      <c r="D196" s="8" t="s">
        <v>4</v>
      </c>
      <c r="E196" s="14" t="s">
        <v>203</v>
      </c>
      <c r="F196" s="8" t="s">
        <v>34</v>
      </c>
      <c r="G196" s="25">
        <v>120.1</v>
      </c>
      <c r="H196" s="49">
        <f>120.1+29.5</f>
        <v>149.6</v>
      </c>
      <c r="I196" s="49">
        <f>120.1+29.5</f>
        <v>149.6</v>
      </c>
      <c r="J196" s="49">
        <f>120.1+29.5</f>
        <v>149.6</v>
      </c>
      <c r="K196" s="49">
        <f>120.1+29.5</f>
        <v>149.6</v>
      </c>
      <c r="L196" s="81">
        <f>120.1+29.5</f>
        <v>149.6</v>
      </c>
      <c r="M196" s="101">
        <f>L196-K196</f>
        <v>0</v>
      </c>
    </row>
    <row r="197" spans="1:13" ht="78.75" hidden="1">
      <c r="A197" s="23"/>
      <c r="B197" s="4" t="s">
        <v>182</v>
      </c>
      <c r="C197" s="8" t="s">
        <v>38</v>
      </c>
      <c r="D197" s="8" t="s">
        <v>4</v>
      </c>
      <c r="E197" s="72" t="s">
        <v>181</v>
      </c>
      <c r="F197" s="8" t="s">
        <v>34</v>
      </c>
      <c r="G197" s="73">
        <v>2841.5</v>
      </c>
      <c r="H197" s="74">
        <v>2841.5</v>
      </c>
      <c r="I197" s="74">
        <v>2841.5</v>
      </c>
      <c r="J197" s="74">
        <v>2841.5</v>
      </c>
      <c r="K197" s="74">
        <v>2841.5</v>
      </c>
      <c r="L197" s="81">
        <v>2841.5</v>
      </c>
      <c r="M197" s="101">
        <f>L197-K197</f>
        <v>0</v>
      </c>
    </row>
    <row r="198" spans="1:13" ht="15.75">
      <c r="A198" s="23"/>
      <c r="B198" s="34" t="s">
        <v>40</v>
      </c>
      <c r="C198" s="63" t="s">
        <v>42</v>
      </c>
      <c r="D198" s="63"/>
      <c r="E198" s="14"/>
      <c r="F198" s="8"/>
      <c r="G198" s="69">
        <f aca="true" t="shared" si="74" ref="G198:L198">G199+G203</f>
        <v>1618.4</v>
      </c>
      <c r="H198" s="78">
        <f t="shared" si="74"/>
        <v>1622.5</v>
      </c>
      <c r="I198" s="67">
        <f t="shared" si="74"/>
        <v>1622.5</v>
      </c>
      <c r="J198" s="67">
        <f t="shared" si="74"/>
        <v>6841.16892</v>
      </c>
      <c r="K198" s="67">
        <f t="shared" si="74"/>
        <v>6841.16892</v>
      </c>
      <c r="L198" s="68">
        <f t="shared" si="74"/>
        <v>20546.641460000003</v>
      </c>
      <c r="M198" s="87">
        <f>L198-K198</f>
        <v>13705.472540000002</v>
      </c>
    </row>
    <row r="199" spans="1:13" ht="15.75">
      <c r="A199" s="23"/>
      <c r="B199" s="34" t="s">
        <v>41</v>
      </c>
      <c r="C199" s="63" t="s">
        <v>42</v>
      </c>
      <c r="D199" s="63" t="s">
        <v>4</v>
      </c>
      <c r="E199" s="64"/>
      <c r="F199" s="63"/>
      <c r="G199" s="25">
        <f aca="true" t="shared" si="75" ref="G199:L201">G200</f>
        <v>554</v>
      </c>
      <c r="H199" s="49">
        <f t="shared" si="75"/>
        <v>558.1</v>
      </c>
      <c r="I199" s="49">
        <f t="shared" si="75"/>
        <v>558.1</v>
      </c>
      <c r="J199" s="49">
        <f t="shared" si="75"/>
        <v>558.1</v>
      </c>
      <c r="K199" s="49">
        <f t="shared" si="75"/>
        <v>558.1</v>
      </c>
      <c r="L199" s="81">
        <f t="shared" si="75"/>
        <v>552.56447</v>
      </c>
      <c r="M199" s="87">
        <f>M200</f>
        <v>-5.53553</v>
      </c>
    </row>
    <row r="200" spans="1:15" ht="47.25">
      <c r="A200" s="23"/>
      <c r="B200" s="4" t="s">
        <v>259</v>
      </c>
      <c r="C200" s="8" t="s">
        <v>42</v>
      </c>
      <c r="D200" s="8" t="s">
        <v>4</v>
      </c>
      <c r="E200" s="14" t="s">
        <v>4</v>
      </c>
      <c r="F200" s="8"/>
      <c r="G200" s="25">
        <f t="shared" si="75"/>
        <v>554</v>
      </c>
      <c r="H200" s="49">
        <f t="shared" si="75"/>
        <v>558.1</v>
      </c>
      <c r="I200" s="49">
        <f t="shared" si="75"/>
        <v>558.1</v>
      </c>
      <c r="J200" s="49">
        <f t="shared" si="75"/>
        <v>558.1</v>
      </c>
      <c r="K200" s="49">
        <f t="shared" si="75"/>
        <v>558.1</v>
      </c>
      <c r="L200" s="56">
        <f t="shared" si="75"/>
        <v>552.56447</v>
      </c>
      <c r="M200" s="101">
        <f>M201</f>
        <v>-5.53553</v>
      </c>
      <c r="N200" s="62"/>
      <c r="O200" s="61"/>
    </row>
    <row r="201" spans="1:13" ht="37.5" customHeight="1">
      <c r="A201" s="23"/>
      <c r="B201" s="18" t="s">
        <v>183</v>
      </c>
      <c r="C201" s="8" t="s">
        <v>42</v>
      </c>
      <c r="D201" s="8" t="s">
        <v>4</v>
      </c>
      <c r="E201" s="14" t="s">
        <v>184</v>
      </c>
      <c r="F201" s="8"/>
      <c r="G201" s="25">
        <f t="shared" si="75"/>
        <v>554</v>
      </c>
      <c r="H201" s="49">
        <f t="shared" si="75"/>
        <v>558.1</v>
      </c>
      <c r="I201" s="49">
        <f t="shared" si="75"/>
        <v>558.1</v>
      </c>
      <c r="J201" s="49">
        <f t="shared" si="75"/>
        <v>558.1</v>
      </c>
      <c r="K201" s="49">
        <f t="shared" si="75"/>
        <v>558.1</v>
      </c>
      <c r="L201" s="56">
        <f t="shared" si="75"/>
        <v>552.56447</v>
      </c>
      <c r="M201" s="101">
        <f>M202</f>
        <v>-5.53553</v>
      </c>
    </row>
    <row r="202" spans="1:13" ht="47.25" customHeight="1">
      <c r="A202" s="23"/>
      <c r="B202" s="18" t="s">
        <v>186</v>
      </c>
      <c r="C202" s="8" t="s">
        <v>42</v>
      </c>
      <c r="D202" s="8" t="s">
        <v>4</v>
      </c>
      <c r="E202" s="14" t="s">
        <v>185</v>
      </c>
      <c r="F202" s="8" t="s">
        <v>43</v>
      </c>
      <c r="G202" s="73">
        <v>554</v>
      </c>
      <c r="H202" s="74">
        <f>554+4.1</f>
        <v>558.1</v>
      </c>
      <c r="I202" s="74">
        <f>554+4.1</f>
        <v>558.1</v>
      </c>
      <c r="J202" s="74">
        <f>554+4.1</f>
        <v>558.1</v>
      </c>
      <c r="K202" s="74">
        <f>554+4.1</f>
        <v>558.1</v>
      </c>
      <c r="L202" s="75">
        <f>554+4.1-5.53553</f>
        <v>552.56447</v>
      </c>
      <c r="M202" s="101">
        <v>-5.53553</v>
      </c>
    </row>
    <row r="203" spans="1:13" ht="26.25" customHeight="1">
      <c r="A203" s="23"/>
      <c r="B203" s="34" t="s">
        <v>44</v>
      </c>
      <c r="C203" s="63" t="s">
        <v>42</v>
      </c>
      <c r="D203" s="63" t="s">
        <v>9</v>
      </c>
      <c r="E203" s="64"/>
      <c r="F203" s="63"/>
      <c r="G203" s="69">
        <f>G210+G214</f>
        <v>1064.4</v>
      </c>
      <c r="H203" s="78">
        <f>H210+H214</f>
        <v>1064.4</v>
      </c>
      <c r="I203" s="67">
        <f>I210+I214</f>
        <v>1064.4</v>
      </c>
      <c r="J203" s="71">
        <f>J210+J214+J204</f>
        <v>6283.06892</v>
      </c>
      <c r="K203" s="71">
        <f>K210+K214+K204</f>
        <v>6283.06892</v>
      </c>
      <c r="L203" s="79">
        <f>L210+L214+L204</f>
        <v>19994.07699</v>
      </c>
      <c r="M203" s="87">
        <f>M204+M214</f>
        <v>13711.00807</v>
      </c>
    </row>
    <row r="204" spans="1:13" ht="63">
      <c r="A204" s="23"/>
      <c r="B204" s="4" t="s">
        <v>296</v>
      </c>
      <c r="C204" s="8" t="s">
        <v>42</v>
      </c>
      <c r="D204" s="8" t="s">
        <v>9</v>
      </c>
      <c r="E204" s="14" t="s">
        <v>29</v>
      </c>
      <c r="F204" s="8"/>
      <c r="G204" s="25">
        <v>0</v>
      </c>
      <c r="H204" s="49">
        <v>0</v>
      </c>
      <c r="I204" s="80">
        <v>0</v>
      </c>
      <c r="J204" s="71">
        <f>J205</f>
        <v>3924.8589199999997</v>
      </c>
      <c r="K204" s="71">
        <f>K205</f>
        <v>3924.8589199999997</v>
      </c>
      <c r="L204" s="71">
        <f>L205</f>
        <v>17630.866990000002</v>
      </c>
      <c r="M204" s="101">
        <f>M205</f>
        <v>13706.00807</v>
      </c>
    </row>
    <row r="205" spans="1:13" ht="39" customHeight="1">
      <c r="A205" s="23"/>
      <c r="B205" s="4" t="s">
        <v>141</v>
      </c>
      <c r="C205" s="8" t="s">
        <v>42</v>
      </c>
      <c r="D205" s="8" t="s">
        <v>9</v>
      </c>
      <c r="E205" s="14" t="s">
        <v>142</v>
      </c>
      <c r="F205" s="8"/>
      <c r="G205" s="25">
        <v>0</v>
      </c>
      <c r="H205" s="49">
        <v>0</v>
      </c>
      <c r="I205" s="80">
        <v>0</v>
      </c>
      <c r="J205" s="71">
        <f>J206+J207</f>
        <v>3924.8589199999997</v>
      </c>
      <c r="K205" s="71">
        <f>K206+K207</f>
        <v>3924.8589199999997</v>
      </c>
      <c r="L205" s="71">
        <f>L206+L207+L208+L209</f>
        <v>17630.866990000002</v>
      </c>
      <c r="M205" s="101">
        <f>M206+M207</f>
        <v>13706.00807</v>
      </c>
    </row>
    <row r="206" spans="1:13" ht="47.25">
      <c r="A206" s="23"/>
      <c r="B206" s="4" t="s">
        <v>240</v>
      </c>
      <c r="C206" s="8" t="s">
        <v>42</v>
      </c>
      <c r="D206" s="8" t="s">
        <v>9</v>
      </c>
      <c r="E206" s="14" t="s">
        <v>227</v>
      </c>
      <c r="F206" s="8" t="s">
        <v>43</v>
      </c>
      <c r="G206" s="25">
        <v>0</v>
      </c>
      <c r="H206" s="49">
        <v>0</v>
      </c>
      <c r="I206" s="80">
        <v>0</v>
      </c>
      <c r="J206" s="71">
        <f>588.72884</f>
        <v>588.72884</v>
      </c>
      <c r="K206" s="71">
        <f>588.72884</f>
        <v>588.72884</v>
      </c>
      <c r="L206" s="71">
        <f>588.72884+3759.351-1114.72095-0.00001-588.72884</f>
        <v>2644.63004</v>
      </c>
      <c r="M206" s="101">
        <v>2055.9012</v>
      </c>
    </row>
    <row r="207" spans="1:13" ht="82.5" customHeight="1">
      <c r="A207" s="23"/>
      <c r="B207" s="4" t="s">
        <v>241</v>
      </c>
      <c r="C207" s="8" t="s">
        <v>42</v>
      </c>
      <c r="D207" s="8" t="s">
        <v>9</v>
      </c>
      <c r="E207" s="14" t="s">
        <v>228</v>
      </c>
      <c r="F207" s="8" t="s">
        <v>43</v>
      </c>
      <c r="G207" s="25">
        <v>0</v>
      </c>
      <c r="H207" s="49">
        <v>0</v>
      </c>
      <c r="I207" s="80">
        <v>0</v>
      </c>
      <c r="J207" s="71">
        <v>3336.13008</v>
      </c>
      <c r="K207" s="71">
        <v>3336.13008</v>
      </c>
      <c r="L207" s="71">
        <f>3336.13008+15124.12737-137.89043-3336.13007</f>
        <v>14986.236950000002</v>
      </c>
      <c r="M207" s="101">
        <v>11650.10687</v>
      </c>
    </row>
    <row r="208" spans="1:13" ht="0.75" customHeight="1" hidden="1">
      <c r="A208" s="23"/>
      <c r="B208" s="4" t="s">
        <v>246</v>
      </c>
      <c r="C208" s="8" t="s">
        <v>42</v>
      </c>
      <c r="D208" s="8" t="s">
        <v>9</v>
      </c>
      <c r="E208" s="14" t="s">
        <v>244</v>
      </c>
      <c r="F208" s="8" t="s">
        <v>15</v>
      </c>
      <c r="G208" s="25">
        <v>0</v>
      </c>
      <c r="H208" s="49">
        <v>0</v>
      </c>
      <c r="I208" s="80">
        <v>0</v>
      </c>
      <c r="J208" s="108">
        <v>0</v>
      </c>
      <c r="K208" s="108">
        <v>0</v>
      </c>
      <c r="L208" s="71"/>
      <c r="M208" s="101">
        <f aca="true" t="shared" si="76" ref="M208:M213">L208-K208</f>
        <v>0</v>
      </c>
    </row>
    <row r="209" spans="1:13" ht="78.75" hidden="1">
      <c r="A209" s="23"/>
      <c r="B209" s="4" t="s">
        <v>247</v>
      </c>
      <c r="C209" s="8" t="s">
        <v>42</v>
      </c>
      <c r="D209" s="8" t="s">
        <v>9</v>
      </c>
      <c r="E209" s="14" t="s">
        <v>245</v>
      </c>
      <c r="F209" s="8" t="s">
        <v>15</v>
      </c>
      <c r="G209" s="25">
        <v>0</v>
      </c>
      <c r="H209" s="49">
        <v>0</v>
      </c>
      <c r="I209" s="80">
        <v>0</v>
      </c>
      <c r="J209" s="108">
        <v>0</v>
      </c>
      <c r="K209" s="108">
        <v>0</v>
      </c>
      <c r="L209" s="71"/>
      <c r="M209" s="101">
        <f t="shared" si="76"/>
        <v>0</v>
      </c>
    </row>
    <row r="210" spans="1:13" ht="0.75" customHeight="1" hidden="1">
      <c r="A210" s="23"/>
      <c r="B210" s="19" t="s">
        <v>297</v>
      </c>
      <c r="C210" s="8" t="s">
        <v>42</v>
      </c>
      <c r="D210" s="8" t="s">
        <v>9</v>
      </c>
      <c r="E210" s="14" t="s">
        <v>187</v>
      </c>
      <c r="F210" s="8"/>
      <c r="G210" s="25">
        <f aca="true" t="shared" si="77" ref="G210:L211">G211</f>
        <v>250</v>
      </c>
      <c r="H210" s="49">
        <f t="shared" si="77"/>
        <v>250</v>
      </c>
      <c r="I210" s="49">
        <f t="shared" si="77"/>
        <v>250</v>
      </c>
      <c r="J210" s="49">
        <f t="shared" si="77"/>
        <v>250</v>
      </c>
      <c r="K210" s="49">
        <f t="shared" si="77"/>
        <v>250</v>
      </c>
      <c r="L210" s="81">
        <f t="shared" si="77"/>
        <v>250</v>
      </c>
      <c r="M210" s="101">
        <f t="shared" si="76"/>
        <v>0</v>
      </c>
    </row>
    <row r="211" spans="1:13" ht="34.5" customHeight="1" hidden="1">
      <c r="A211" s="23"/>
      <c r="B211" s="19" t="s">
        <v>71</v>
      </c>
      <c r="C211" s="8" t="s">
        <v>42</v>
      </c>
      <c r="D211" s="8" t="s">
        <v>9</v>
      </c>
      <c r="E211" s="14" t="s">
        <v>188</v>
      </c>
      <c r="F211" s="8"/>
      <c r="G211" s="25">
        <f t="shared" si="77"/>
        <v>250</v>
      </c>
      <c r="H211" s="49">
        <f t="shared" si="77"/>
        <v>250</v>
      </c>
      <c r="I211" s="49">
        <f>I213</f>
        <v>250</v>
      </c>
      <c r="J211" s="49">
        <f>J213</f>
        <v>250</v>
      </c>
      <c r="K211" s="49">
        <f>K213</f>
        <v>250</v>
      </c>
      <c r="L211" s="56">
        <f>L213</f>
        <v>250</v>
      </c>
      <c r="M211" s="101">
        <f t="shared" si="76"/>
        <v>0</v>
      </c>
    </row>
    <row r="212" spans="1:13" ht="50.25" customHeight="1" hidden="1">
      <c r="A212" s="23"/>
      <c r="B212" s="4" t="s">
        <v>189</v>
      </c>
      <c r="C212" s="8" t="s">
        <v>42</v>
      </c>
      <c r="D212" s="8" t="s">
        <v>9</v>
      </c>
      <c r="E212" s="14" t="s">
        <v>190</v>
      </c>
      <c r="F212" s="8" t="s">
        <v>46</v>
      </c>
      <c r="G212" s="73">
        <v>250</v>
      </c>
      <c r="H212" s="74">
        <v>250</v>
      </c>
      <c r="I212" s="74">
        <f>250-250</f>
        <v>0</v>
      </c>
      <c r="J212" s="74">
        <f>250-250</f>
        <v>0</v>
      </c>
      <c r="K212" s="74">
        <f>250-250</f>
        <v>0</v>
      </c>
      <c r="L212" s="75">
        <f>250-250</f>
        <v>0</v>
      </c>
      <c r="M212" s="101">
        <f t="shared" si="76"/>
        <v>0</v>
      </c>
    </row>
    <row r="213" spans="1:13" ht="50.25" customHeight="1" hidden="1">
      <c r="A213" s="23"/>
      <c r="B213" s="4" t="s">
        <v>189</v>
      </c>
      <c r="C213" s="8" t="s">
        <v>42</v>
      </c>
      <c r="D213" s="8" t="s">
        <v>9</v>
      </c>
      <c r="E213" s="14" t="s">
        <v>229</v>
      </c>
      <c r="F213" s="8" t="s">
        <v>46</v>
      </c>
      <c r="G213" s="73">
        <v>0</v>
      </c>
      <c r="H213" s="74">
        <v>0</v>
      </c>
      <c r="I213" s="74">
        <v>250</v>
      </c>
      <c r="J213" s="74">
        <v>250</v>
      </c>
      <c r="K213" s="74">
        <v>250</v>
      </c>
      <c r="L213" s="75">
        <v>250</v>
      </c>
      <c r="M213" s="101">
        <f t="shared" si="76"/>
        <v>0</v>
      </c>
    </row>
    <row r="214" spans="1:15" ht="15.75">
      <c r="A214" s="23"/>
      <c r="B214" s="4" t="s">
        <v>57</v>
      </c>
      <c r="C214" s="8" t="s">
        <v>42</v>
      </c>
      <c r="D214" s="8" t="s">
        <v>9</v>
      </c>
      <c r="E214" s="14" t="s">
        <v>6</v>
      </c>
      <c r="F214" s="8"/>
      <c r="G214" s="25">
        <f aca="true" t="shared" si="78" ref="G214:L214">G215</f>
        <v>814.4</v>
      </c>
      <c r="H214" s="49">
        <f t="shared" si="78"/>
        <v>814.4</v>
      </c>
      <c r="I214" s="49">
        <f t="shared" si="78"/>
        <v>814.4</v>
      </c>
      <c r="J214" s="49">
        <f t="shared" si="78"/>
        <v>2108.21</v>
      </c>
      <c r="K214" s="49">
        <f t="shared" si="78"/>
        <v>2108.21</v>
      </c>
      <c r="L214" s="56">
        <f t="shared" si="78"/>
        <v>2113.21</v>
      </c>
      <c r="M214" s="101">
        <f>M215</f>
        <v>5</v>
      </c>
      <c r="O214" t="s">
        <v>315</v>
      </c>
    </row>
    <row r="215" spans="1:13" ht="19.5" customHeight="1">
      <c r="A215" s="23"/>
      <c r="B215" s="4" t="s">
        <v>116</v>
      </c>
      <c r="C215" s="8" t="s">
        <v>42</v>
      </c>
      <c r="D215" s="8" t="s">
        <v>9</v>
      </c>
      <c r="E215" s="14" t="s">
        <v>12</v>
      </c>
      <c r="F215" s="8"/>
      <c r="G215" s="25">
        <f>SUM(G216:G220)</f>
        <v>814.4</v>
      </c>
      <c r="H215" s="49">
        <f>SUM(H216:H221)</f>
        <v>814.4</v>
      </c>
      <c r="I215" s="49">
        <f>SUM(I216:I221)</f>
        <v>814.4</v>
      </c>
      <c r="J215" s="49">
        <f>SUM(J216:J221)</f>
        <v>2108.21</v>
      </c>
      <c r="K215" s="49">
        <f>SUM(K216:K221)</f>
        <v>2108.21</v>
      </c>
      <c r="L215" s="56">
        <f>SUM(L216:L221)</f>
        <v>2113.21</v>
      </c>
      <c r="M215" s="101">
        <f>M221</f>
        <v>5</v>
      </c>
    </row>
    <row r="216" spans="1:13" ht="0.75" customHeight="1" hidden="1">
      <c r="A216" s="23"/>
      <c r="B216" s="19" t="s">
        <v>202</v>
      </c>
      <c r="C216" s="8" t="s">
        <v>42</v>
      </c>
      <c r="D216" s="8" t="s">
        <v>9</v>
      </c>
      <c r="E216" s="132" t="s">
        <v>84</v>
      </c>
      <c r="F216" s="8" t="s">
        <v>46</v>
      </c>
      <c r="G216" s="73">
        <v>782.5</v>
      </c>
      <c r="H216" s="74">
        <v>782.5</v>
      </c>
      <c r="I216" s="74">
        <v>782.5</v>
      </c>
      <c r="J216" s="74">
        <f>782.5-340.2-122.89</f>
        <v>319.41</v>
      </c>
      <c r="K216" s="74">
        <f>782.5-340.2-122.89</f>
        <v>319.41</v>
      </c>
      <c r="L216" s="81">
        <f>782.5-340.2-122.89</f>
        <v>319.41</v>
      </c>
      <c r="M216" s="101">
        <f>L216-K216</f>
        <v>0</v>
      </c>
    </row>
    <row r="217" spans="1:13" ht="99" customHeight="1" hidden="1">
      <c r="A217" s="23"/>
      <c r="B217" s="19" t="s">
        <v>45</v>
      </c>
      <c r="C217" s="8" t="s">
        <v>42</v>
      </c>
      <c r="D217" s="8" t="s">
        <v>9</v>
      </c>
      <c r="E217" s="14" t="s">
        <v>47</v>
      </c>
      <c r="F217" s="8" t="s">
        <v>43</v>
      </c>
      <c r="G217" s="73">
        <v>1.8</v>
      </c>
      <c r="H217" s="74">
        <v>1.8</v>
      </c>
      <c r="I217" s="74">
        <v>1.8</v>
      </c>
      <c r="J217" s="74">
        <v>1.8</v>
      </c>
      <c r="K217" s="74">
        <v>1.8</v>
      </c>
      <c r="L217" s="81">
        <v>1.8</v>
      </c>
      <c r="M217" s="101">
        <f>L217-K217</f>
        <v>0</v>
      </c>
    </row>
    <row r="218" spans="1:13" ht="2.25" customHeight="1" hidden="1">
      <c r="A218" s="23"/>
      <c r="B218" s="45" t="s">
        <v>191</v>
      </c>
      <c r="C218" s="8" t="s">
        <v>42</v>
      </c>
      <c r="D218" s="8" t="s">
        <v>9</v>
      </c>
      <c r="E218" s="14" t="s">
        <v>192</v>
      </c>
      <c r="F218" s="8" t="s">
        <v>43</v>
      </c>
      <c r="G218" s="74">
        <v>0.1</v>
      </c>
      <c r="H218" s="74">
        <v>0.1</v>
      </c>
      <c r="I218" s="74">
        <v>0.1</v>
      </c>
      <c r="J218" s="74">
        <v>0.1</v>
      </c>
      <c r="K218" s="74">
        <v>0.1</v>
      </c>
      <c r="L218" s="81">
        <v>0.1</v>
      </c>
      <c r="M218" s="101">
        <f>L218-K218</f>
        <v>0</v>
      </c>
    </row>
    <row r="219" spans="1:13" ht="0.75" customHeight="1" hidden="1">
      <c r="A219" s="23"/>
      <c r="B219" s="52" t="s">
        <v>237</v>
      </c>
      <c r="C219" s="8" t="s">
        <v>42</v>
      </c>
      <c r="D219" s="8" t="s">
        <v>9</v>
      </c>
      <c r="E219" s="72" t="s">
        <v>236</v>
      </c>
      <c r="F219" s="8" t="s">
        <v>15</v>
      </c>
      <c r="G219" s="74">
        <v>0</v>
      </c>
      <c r="H219" s="74">
        <v>0</v>
      </c>
      <c r="I219" s="74">
        <v>0</v>
      </c>
      <c r="J219" s="74">
        <v>1756.9</v>
      </c>
      <c r="K219" s="74">
        <v>1756.9</v>
      </c>
      <c r="L219" s="81">
        <f>1756.9+1114.72095-1114.72095</f>
        <v>1756.9</v>
      </c>
      <c r="M219" s="101">
        <f>L219-K219</f>
        <v>0</v>
      </c>
    </row>
    <row r="220" spans="1:13" ht="1.5" customHeight="1" hidden="1">
      <c r="A220" s="23"/>
      <c r="B220" s="4" t="s">
        <v>199</v>
      </c>
      <c r="C220" s="82" t="s">
        <v>42</v>
      </c>
      <c r="D220" s="8" t="s">
        <v>9</v>
      </c>
      <c r="E220" s="14" t="s">
        <v>193</v>
      </c>
      <c r="F220" s="8" t="s">
        <v>43</v>
      </c>
      <c r="G220" s="74">
        <v>30</v>
      </c>
      <c r="H220" s="74">
        <f>30-30</f>
        <v>0</v>
      </c>
      <c r="I220" s="74">
        <f>30-30</f>
        <v>0</v>
      </c>
      <c r="J220" s="74">
        <f>30-30</f>
        <v>0</v>
      </c>
      <c r="K220" s="74">
        <f>30-30</f>
        <v>0</v>
      </c>
      <c r="L220" s="75">
        <f>30-30</f>
        <v>0</v>
      </c>
      <c r="M220" s="101">
        <f>L220-K220</f>
        <v>0</v>
      </c>
    </row>
    <row r="221" spans="1:13" ht="47.25">
      <c r="A221" s="23"/>
      <c r="B221" s="4" t="s">
        <v>224</v>
      </c>
      <c r="C221" s="82" t="s">
        <v>42</v>
      </c>
      <c r="D221" s="8" t="s">
        <v>9</v>
      </c>
      <c r="E221" s="14" t="s">
        <v>193</v>
      </c>
      <c r="F221" s="8" t="s">
        <v>43</v>
      </c>
      <c r="G221" s="74"/>
      <c r="H221" s="74">
        <v>30</v>
      </c>
      <c r="I221" s="74">
        <v>30</v>
      </c>
      <c r="J221" s="74">
        <v>30</v>
      </c>
      <c r="K221" s="74">
        <v>30</v>
      </c>
      <c r="L221" s="81">
        <f>30+5</f>
        <v>35</v>
      </c>
      <c r="M221" s="101">
        <v>5</v>
      </c>
    </row>
    <row r="222" spans="1:13" ht="15.75">
      <c r="A222" s="23"/>
      <c r="B222" s="46" t="s">
        <v>48</v>
      </c>
      <c r="C222" s="63" t="s">
        <v>18</v>
      </c>
      <c r="D222" s="63"/>
      <c r="E222" s="14"/>
      <c r="F222" s="8"/>
      <c r="G222" s="69">
        <f aca="true" t="shared" si="79" ref="G222:L222">G223+G227</f>
        <v>8666</v>
      </c>
      <c r="H222" s="78">
        <f t="shared" si="79"/>
        <v>8666</v>
      </c>
      <c r="I222" s="70">
        <f t="shared" si="79"/>
        <v>9036.523</v>
      </c>
      <c r="J222" s="141">
        <f t="shared" si="79"/>
        <v>9148.123</v>
      </c>
      <c r="K222" s="141">
        <f t="shared" si="79"/>
        <v>9148.123</v>
      </c>
      <c r="L222" s="79">
        <f t="shared" si="79"/>
        <v>11140.982079999998</v>
      </c>
      <c r="M222" s="87">
        <f>M223+M227</f>
        <v>1992.85908</v>
      </c>
    </row>
    <row r="223" spans="1:13" ht="15.75">
      <c r="A223" s="23"/>
      <c r="B223" s="34" t="s">
        <v>49</v>
      </c>
      <c r="C223" s="63" t="s">
        <v>18</v>
      </c>
      <c r="D223" s="63" t="s">
        <v>4</v>
      </c>
      <c r="E223" s="64"/>
      <c r="F223" s="63"/>
      <c r="G223" s="69">
        <f aca="true" t="shared" si="80" ref="G223:L225">G224</f>
        <v>8386</v>
      </c>
      <c r="H223" s="78">
        <f t="shared" si="80"/>
        <v>8386</v>
      </c>
      <c r="I223" s="70">
        <f t="shared" si="80"/>
        <v>8756.523</v>
      </c>
      <c r="J223" s="70">
        <f t="shared" si="80"/>
        <v>8762.523</v>
      </c>
      <c r="K223" s="70">
        <f t="shared" si="80"/>
        <v>8762.523</v>
      </c>
      <c r="L223" s="79">
        <f t="shared" si="80"/>
        <v>10128.682079999999</v>
      </c>
      <c r="M223" s="87">
        <f>M224</f>
        <v>1366.15908</v>
      </c>
    </row>
    <row r="224" spans="1:13" ht="15.75">
      <c r="A224" s="23"/>
      <c r="B224" s="4" t="s">
        <v>57</v>
      </c>
      <c r="C224" s="8" t="s">
        <v>18</v>
      </c>
      <c r="D224" s="8" t="s">
        <v>4</v>
      </c>
      <c r="E224" s="14" t="s">
        <v>6</v>
      </c>
      <c r="F224" s="8"/>
      <c r="G224" s="25">
        <f t="shared" si="80"/>
        <v>8386</v>
      </c>
      <c r="H224" s="49">
        <f t="shared" si="80"/>
        <v>8386</v>
      </c>
      <c r="I224" s="139">
        <f t="shared" si="80"/>
        <v>8756.523</v>
      </c>
      <c r="J224" s="139">
        <f t="shared" si="80"/>
        <v>8762.523</v>
      </c>
      <c r="K224" s="139">
        <f t="shared" si="80"/>
        <v>8762.523</v>
      </c>
      <c r="L224" s="56">
        <f t="shared" si="80"/>
        <v>10128.682079999999</v>
      </c>
      <c r="M224" s="101">
        <f>M225</f>
        <v>1366.15908</v>
      </c>
    </row>
    <row r="225" spans="1:13" ht="15.75">
      <c r="A225" s="23"/>
      <c r="B225" s="4" t="s">
        <v>116</v>
      </c>
      <c r="C225" s="8" t="s">
        <v>18</v>
      </c>
      <c r="D225" s="8" t="s">
        <v>4</v>
      </c>
      <c r="E225" s="14" t="s">
        <v>55</v>
      </c>
      <c r="F225" s="8"/>
      <c r="G225" s="25">
        <f t="shared" si="80"/>
        <v>8386</v>
      </c>
      <c r="H225" s="49">
        <f t="shared" si="80"/>
        <v>8386</v>
      </c>
      <c r="I225" s="139">
        <f t="shared" si="80"/>
        <v>8756.523</v>
      </c>
      <c r="J225" s="139">
        <f t="shared" si="80"/>
        <v>8762.523</v>
      </c>
      <c r="K225" s="139">
        <f t="shared" si="80"/>
        <v>8762.523</v>
      </c>
      <c r="L225" s="56">
        <f t="shared" si="80"/>
        <v>10128.682079999999</v>
      </c>
      <c r="M225" s="101">
        <f>M226</f>
        <v>1366.15908</v>
      </c>
    </row>
    <row r="226" spans="1:13" ht="78.75">
      <c r="A226" s="23"/>
      <c r="B226" s="6" t="s">
        <v>194</v>
      </c>
      <c r="C226" s="8" t="s">
        <v>18</v>
      </c>
      <c r="D226" s="8" t="s">
        <v>4</v>
      </c>
      <c r="E226" s="14" t="s">
        <v>195</v>
      </c>
      <c r="F226" s="8" t="s">
        <v>34</v>
      </c>
      <c r="G226" s="73">
        <v>8386</v>
      </c>
      <c r="H226" s="74">
        <v>8386</v>
      </c>
      <c r="I226" s="140">
        <f>8386+370.523</f>
        <v>8756.523</v>
      </c>
      <c r="J226" s="140">
        <f>8386+370.523+6</f>
        <v>8762.523</v>
      </c>
      <c r="K226" s="140">
        <f>8386+370.523+6</f>
        <v>8762.523</v>
      </c>
      <c r="L226" s="75">
        <f>8386+370.523+6+18.4-181.7+100+1429.45908</f>
        <v>10128.682079999999</v>
      </c>
      <c r="M226" s="101">
        <v>1366.15908</v>
      </c>
    </row>
    <row r="227" spans="1:13" ht="33" customHeight="1">
      <c r="A227" s="23"/>
      <c r="B227" s="16" t="s">
        <v>76</v>
      </c>
      <c r="C227" s="63" t="s">
        <v>18</v>
      </c>
      <c r="D227" s="63" t="s">
        <v>5</v>
      </c>
      <c r="E227" s="64"/>
      <c r="F227" s="63"/>
      <c r="G227" s="65">
        <f>G231</f>
        <v>280</v>
      </c>
      <c r="H227" s="66">
        <f>H231</f>
        <v>280</v>
      </c>
      <c r="I227" s="66">
        <f>I231</f>
        <v>280</v>
      </c>
      <c r="J227" s="66">
        <f>J231+J228</f>
        <v>385.6</v>
      </c>
      <c r="K227" s="66">
        <f>K231+K228</f>
        <v>385.6</v>
      </c>
      <c r="L227" s="79">
        <f>L231+L228</f>
        <v>1012.3000000000001</v>
      </c>
      <c r="M227" s="87">
        <f>M231</f>
        <v>626.7</v>
      </c>
    </row>
    <row r="228" spans="1:13" ht="63" hidden="1">
      <c r="A228" s="23"/>
      <c r="B228" s="4" t="s">
        <v>263</v>
      </c>
      <c r="C228" s="8" t="s">
        <v>18</v>
      </c>
      <c r="D228" s="8" t="s">
        <v>5</v>
      </c>
      <c r="E228" s="14" t="s">
        <v>10</v>
      </c>
      <c r="F228" s="8"/>
      <c r="G228" s="65"/>
      <c r="H228" s="66"/>
      <c r="I228" s="66"/>
      <c r="J228" s="74">
        <f aca="true" t="shared" si="81" ref="J228:L229">J229</f>
        <v>5.6</v>
      </c>
      <c r="K228" s="74">
        <f t="shared" si="81"/>
        <v>5.6</v>
      </c>
      <c r="L228" s="75">
        <f t="shared" si="81"/>
        <v>5.6</v>
      </c>
      <c r="M228" s="101">
        <f>L228-K228</f>
        <v>0</v>
      </c>
    </row>
    <row r="229" spans="1:13" ht="41.25" customHeight="1" hidden="1">
      <c r="A229" s="23"/>
      <c r="B229" s="4" t="s">
        <v>66</v>
      </c>
      <c r="C229" s="8" t="s">
        <v>18</v>
      </c>
      <c r="D229" s="8" t="s">
        <v>5</v>
      </c>
      <c r="E229" s="14" t="s">
        <v>111</v>
      </c>
      <c r="F229" s="8"/>
      <c r="G229" s="65"/>
      <c r="H229" s="66"/>
      <c r="I229" s="66"/>
      <c r="J229" s="74">
        <f t="shared" si="81"/>
        <v>5.6</v>
      </c>
      <c r="K229" s="74">
        <f t="shared" si="81"/>
        <v>5.6</v>
      </c>
      <c r="L229" s="75">
        <f t="shared" si="81"/>
        <v>5.6</v>
      </c>
      <c r="M229" s="101">
        <f>L229-K229</f>
        <v>0</v>
      </c>
    </row>
    <row r="230" spans="1:13" ht="38.25" customHeight="1" hidden="1">
      <c r="A230" s="23"/>
      <c r="B230" s="5" t="s">
        <v>264</v>
      </c>
      <c r="C230" s="8" t="s">
        <v>18</v>
      </c>
      <c r="D230" s="8" t="s">
        <v>5</v>
      </c>
      <c r="E230" s="14" t="s">
        <v>112</v>
      </c>
      <c r="F230" s="8" t="s">
        <v>34</v>
      </c>
      <c r="G230" s="65"/>
      <c r="H230" s="66"/>
      <c r="I230" s="66"/>
      <c r="J230" s="74">
        <v>5.6</v>
      </c>
      <c r="K230" s="74">
        <v>5.6</v>
      </c>
      <c r="L230" s="75">
        <v>5.6</v>
      </c>
      <c r="M230" s="101">
        <f>L230-K230</f>
        <v>0</v>
      </c>
    </row>
    <row r="231" spans="1:13" ht="78.75">
      <c r="A231" s="23"/>
      <c r="B231" s="19" t="s">
        <v>299</v>
      </c>
      <c r="C231" s="8" t="s">
        <v>18</v>
      </c>
      <c r="D231" s="8" t="s">
        <v>5</v>
      </c>
      <c r="E231" s="14" t="s">
        <v>85</v>
      </c>
      <c r="F231" s="8"/>
      <c r="G231" s="73">
        <f aca="true" t="shared" si="82" ref="G231:L231">G232</f>
        <v>280</v>
      </c>
      <c r="H231" s="74">
        <f t="shared" si="82"/>
        <v>280</v>
      </c>
      <c r="I231" s="74">
        <f t="shared" si="82"/>
        <v>280</v>
      </c>
      <c r="J231" s="74">
        <f t="shared" si="82"/>
        <v>380</v>
      </c>
      <c r="K231" s="74">
        <f t="shared" si="82"/>
        <v>380</v>
      </c>
      <c r="L231" s="75">
        <f t="shared" si="82"/>
        <v>1006.7</v>
      </c>
      <c r="M231" s="101">
        <f>M232</f>
        <v>626.7</v>
      </c>
    </row>
    <row r="232" spans="1:13" ht="32.25" customHeight="1">
      <c r="A232" s="23"/>
      <c r="B232" s="4" t="s">
        <v>196</v>
      </c>
      <c r="C232" s="8" t="s">
        <v>18</v>
      </c>
      <c r="D232" s="8" t="s">
        <v>5</v>
      </c>
      <c r="E232" s="14" t="s">
        <v>197</v>
      </c>
      <c r="F232" s="8"/>
      <c r="G232" s="73">
        <f>G234</f>
        <v>280</v>
      </c>
      <c r="H232" s="74">
        <f>H234</f>
        <v>280</v>
      </c>
      <c r="I232" s="74">
        <f>I234</f>
        <v>280</v>
      </c>
      <c r="J232" s="74">
        <f>J234</f>
        <v>380</v>
      </c>
      <c r="K232" s="74">
        <f>K234</f>
        <v>380</v>
      </c>
      <c r="L232" s="75">
        <f>L233+L234</f>
        <v>1006.7</v>
      </c>
      <c r="M232" s="101">
        <f>M233+M234</f>
        <v>626.7</v>
      </c>
    </row>
    <row r="233" spans="1:13" ht="63">
      <c r="A233" s="23"/>
      <c r="B233" s="15" t="s">
        <v>298</v>
      </c>
      <c r="C233" s="8" t="s">
        <v>18</v>
      </c>
      <c r="D233" s="8" t="s">
        <v>5</v>
      </c>
      <c r="E233" s="9" t="s">
        <v>198</v>
      </c>
      <c r="F233" s="8" t="s">
        <v>90</v>
      </c>
      <c r="G233" s="73">
        <v>0</v>
      </c>
      <c r="H233" s="74">
        <v>0</v>
      </c>
      <c r="I233" s="74">
        <v>0</v>
      </c>
      <c r="J233" s="74">
        <v>0</v>
      </c>
      <c r="K233" s="74">
        <v>0</v>
      </c>
      <c r="L233" s="75">
        <f>400</f>
        <v>400</v>
      </c>
      <c r="M233" s="101">
        <v>400</v>
      </c>
    </row>
    <row r="234" spans="1:13" ht="67.5" customHeight="1">
      <c r="A234" s="24"/>
      <c r="B234" s="15" t="s">
        <v>213</v>
      </c>
      <c r="C234" s="8" t="s">
        <v>18</v>
      </c>
      <c r="D234" s="8" t="s">
        <v>5</v>
      </c>
      <c r="E234" s="9" t="s">
        <v>198</v>
      </c>
      <c r="F234" s="8" t="s">
        <v>34</v>
      </c>
      <c r="G234" s="73">
        <v>280</v>
      </c>
      <c r="H234" s="74">
        <v>280</v>
      </c>
      <c r="I234" s="74">
        <v>280</v>
      </c>
      <c r="J234" s="74">
        <f>280+100</f>
        <v>380</v>
      </c>
      <c r="K234" s="74">
        <f>280+100</f>
        <v>380</v>
      </c>
      <c r="L234" s="75">
        <f>280+100+100-300+181.7+245</f>
        <v>606.7</v>
      </c>
      <c r="M234" s="101">
        <v>226.7</v>
      </c>
    </row>
  </sheetData>
  <sheetProtection/>
  <mergeCells count="15">
    <mergeCell ref="J6:J7"/>
    <mergeCell ref="B6:B7"/>
    <mergeCell ref="H6:H7"/>
    <mergeCell ref="I6:I7"/>
    <mergeCell ref="G6:G7"/>
    <mergeCell ref="E1:M2"/>
    <mergeCell ref="B3:F4"/>
    <mergeCell ref="L6:L7"/>
    <mergeCell ref="M6:M7"/>
    <mergeCell ref="A6:A7"/>
    <mergeCell ref="C6:C7"/>
    <mergeCell ref="D6:D7"/>
    <mergeCell ref="E6:E7"/>
    <mergeCell ref="F6:F7"/>
    <mergeCell ref="K6:K7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2018-12-19T15:35:49Z</dcterms:modified>
  <cp:category/>
  <cp:version/>
  <cp:contentType/>
  <cp:contentStatus/>
</cp:coreProperties>
</file>