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9" sheetId="1" r:id="rId1"/>
  </sheets>
  <definedNames>
    <definedName name="_xlnm.Print_Area" localSheetId="0">'2019'!$A$1:$O$255</definedName>
    <definedName name="OLE_LINK1" localSheetId="0">'2019'!$B$3</definedName>
  </definedNames>
  <calcPr fullCalcOnLoad="1"/>
</workbook>
</file>

<file path=xl/sharedStrings.xml><?xml version="1.0" encoding="utf-8"?>
<sst xmlns="http://schemas.openxmlformats.org/spreadsheetml/2006/main" count="1070" uniqueCount="362">
  <si>
    <t xml:space="preserve">Приложение №3
 к решению совета
народных депутатов
От                         № </t>
  </si>
  <si>
    <t>Исполнение   бюджета муниципального образования город Струнино по ведомственной структуре расходов за 2019  год</t>
  </si>
  <si>
    <t>Код главного распорядителя средств районного бюджета</t>
  </si>
  <si>
    <t>Наименование</t>
  </si>
  <si>
    <t>Код ведомства</t>
  </si>
  <si>
    <t>Код раздела</t>
  </si>
  <si>
    <t>Код подраздела</t>
  </si>
  <si>
    <t>Код целевой статьи</t>
  </si>
  <si>
    <t>Код вида расходов</t>
  </si>
  <si>
    <t xml:space="preserve">
 решение СНД   
от 06.12.2018        №  56</t>
  </si>
  <si>
    <t xml:space="preserve">
 решение СНД   
от 24.01.2019           №  8</t>
  </si>
  <si>
    <t xml:space="preserve">
 решение СНД   
От 23.04.19        № 26</t>
  </si>
  <si>
    <t xml:space="preserve">
 решение СНД   
От  24.09.19        № </t>
  </si>
  <si>
    <t>проект решения декабрь</t>
  </si>
  <si>
    <t>Исполнение</t>
  </si>
  <si>
    <t>изменения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</si>
  <si>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</si>
  <si>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</si>
  <si>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</si>
  <si>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</si>
  <si>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</si>
  <si>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</si>
  <si>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</si>
  <si>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</si>
  <si>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</si>
  <si>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работников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</si>
  <si>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</si>
  <si>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100</t>
  </si>
  <si>
    <t>Расходы на обеспечение деятельности функций органов власти (Прочая закупка товаров, работ и услуг)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</si>
  <si>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</si>
  <si>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</si>
  <si>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</si>
  <si>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</si>
  <si>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</si>
  <si>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</si>
  <si>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</si>
  <si>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</si>
  <si>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</si>
  <si>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</si>
  <si>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власти (Прочая закупка товаров, работ и услуг)</t>
  </si>
  <si>
    <t>Расходы на обеспечение функций органов власти (Иные бюджетные ассигнования)</t>
  </si>
  <si>
    <t>800</t>
  </si>
  <si>
    <t>Муниципальная программа "Развитие муниципальной службы в муниципальном образовании город Струнино 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</si>
  <si>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</si>
  <si>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</si>
  <si>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(Прочая закупка товаров, работ и услуг)</t>
  </si>
  <si>
    <t>01 0 01 20020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</si>
  <si>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</si>
  <si>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</si>
  <si>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</si>
  <si>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</si>
  <si>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</si>
  <si>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</si>
  <si>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</si>
  <si>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</si>
  <si>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</si>
  <si>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</si>
  <si>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(Прочая закупка товаров, работ и услуг)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</si>
  <si>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</si>
  <si>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</si>
  <si>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</si>
  <si>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</si>
  <si>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</si>
  <si>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</si>
  <si>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</si>
  <si>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</si>
  <si>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</si>
  <si>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(Прочая закупка товаров, работ и услуг)</t>
  </si>
  <si>
    <t>02 0 02 20040</t>
  </si>
  <si>
    <t>Хозяйственно-техническое обеспечение деятельности муниципальных учреждений (Иные бюджетные ассигнования)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</si>
  <si>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</si>
  <si>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</si>
  <si>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</si>
  <si>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</si>
  <si>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</si>
  <si>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</si>
  <si>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</si>
  <si>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03 0 01 20020</t>
  </si>
  <si>
    <t>Проведение мероприятий (Социальное обеспечение и иные выплаты населению)</t>
  </si>
  <si>
    <t>400</t>
  </si>
  <si>
    <t>Проведение мероприятий (Иные бюджетные ассигнования)</t>
  </si>
  <si>
    <t>03 0 02</t>
  </si>
  <si>
    <t>Расходы на оплату налогов за имущество, находящегося в муниципальной собственности (Иные бюджетные ассигнования)</t>
  </si>
  <si>
    <t>03 0 02 20030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</si>
  <si>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</si>
  <si>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</si>
  <si>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</si>
  <si>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</si>
  <si>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</si>
  <si>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</si>
  <si>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(Прочая закупка товаров, работ и услуг)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</si>
  <si>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</si>
  <si>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</si>
  <si>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</si>
  <si>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</si>
  <si>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 "</t>
  </si>
  <si>
    <t>04 0 01</t>
  </si>
  <si>
    <t>Проведение противопожарных мероприятий (Прочая закупка товаров, работ и услуг)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</si>
  <si>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</si>
  <si>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</si>
  <si>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</si>
  <si>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1Ф060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</si>
  <si>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</si>
  <si>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</si>
  <si>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</si>
  <si>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</si>
  <si>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</si>
  <si>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</si>
  <si>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</si>
  <si>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</si>
  <si>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</si>
  <si>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</si>
  <si>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</si>
  <si>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</si>
  <si>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Сельское хозяйство и рыболовство</t>
  </si>
  <si>
    <t>05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</si>
  <si>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</si>
  <si>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</si>
  <si>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"Обращение с безнадзорными животными"</t>
  </si>
  <si>
    <t>06 0 01</t>
  </si>
  <si>
    <t>Проведение мероприятий по обращению с безнадзорными животными (Прочая закупка товаров, работ и услуг)</t>
  </si>
  <si>
    <t>06 0 01 20070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</si>
  <si>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</si>
  <si>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</si>
  <si>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</si>
  <si>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</si>
  <si>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</si>
  <si>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автомобильных дорог общего пользования местного значения-профилирование дорог (Прочая закупка товаров, работ и услуг)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</si>
  <si>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</si>
  <si>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субсидии (Прочая закупка товаров, работ и услуг)</t>
  </si>
  <si>
    <t>07 0 01 72460</t>
  </si>
  <si>
    <t>Осуществление дорожной деятельности по ремонту автомобильных дорог общего пользования местного значения за счет средств бюджета (Прочая закупка товаров, работ и услуг)</t>
  </si>
  <si>
    <t>07 0 01 S2460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</si>
  <si>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</si>
  <si>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</si>
  <si>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(Прочая закупка товаров, работ и услуг)</t>
  </si>
  <si>
    <t>07 0 0 2 20055</t>
  </si>
  <si>
    <t>Осуществление дорожной деятельности по содержанию автомобильных дорог общего пользования местного значения (Прочая закупка товаров, работ и услуг)</t>
  </si>
  <si>
    <t>07 0 02 20090</t>
  </si>
  <si>
    <t>Осуществление дорожной деятельности по содержанию автомобильных дорог общего пользования местного значения (Иные бюджетные ассигнования)</t>
  </si>
  <si>
    <t>Основное мероприятие" Безопасность дорожного движения"</t>
  </si>
  <si>
    <t>07 0 03</t>
  </si>
  <si>
    <t>Проведение мероприятий  по повышению безопасности дорожного движения" (Прочая закупка товаров, работ и услуг)</t>
  </si>
  <si>
    <t>07 0 03 20100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</si>
  <si>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(Межбюджетные трансферты)</t>
  </si>
  <si>
    <t>99 9 00 10050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</si>
  <si>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</si>
  <si>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</si>
  <si>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</si>
  <si>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</si>
  <si>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</si>
  <si>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</si>
  <si>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</si>
  <si>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(Прочая закупка товаров, работ и услуг)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</si>
  <si>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</si>
  <si>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</si>
  <si>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</si>
  <si>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</si>
  <si>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</si>
  <si>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</si>
  <si>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10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</si>
  <si>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</si>
  <si>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</si>
  <si>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</si>
  <si>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</si>
  <si>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</si>
  <si>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</si>
  <si>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</si>
  <si>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</si>
  <si>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</si>
  <si>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</si>
  <si>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</si>
  <si>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</si>
  <si>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</si>
  <si>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</si>
  <si>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t>Расходы на обеспечение территории города Струнино документами территориального планирования (Прочая закупка товаров, работ и услуг)</t>
  </si>
  <si>
    <t>24 2 01 70080</t>
  </si>
  <si>
    <t>24 2 01 20080</t>
  </si>
  <si>
    <t>24 2 01 S0080</t>
  </si>
  <si>
    <t>Жилищно-коммунальное хозяйство</t>
  </si>
  <si>
    <t>Жилищное хозяйство</t>
  </si>
  <si>
    <t>Муниципальная программа "Обеспечение устойчивого сокращения непригодного для проживания жилищного фонда  муниципального образования город Струнино"</t>
  </si>
  <si>
    <t>Основное мероприятие" Переселение граждан из аварийного жилищного фонда "</t>
  </si>
  <si>
    <t xml:space="preserve">12 0 01 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</si>
  <si>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</si>
  <si>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>12 0 01 40010</t>
  </si>
  <si>
    <t>Переселение граждан из аварийного жилищного фонда (Прочая закупка товаров, работ и услуг)</t>
  </si>
  <si>
    <t>Субсидии на обеспечение проживающих в аварийном жилищном фонде граждан жилыми помещениями в рамках областной адресной программы "Обеспечение устойчивого сокращения непригодного для проживания жилищного фонда Владимирской области" (Социальное обеспечение и иные выплаты населению)</t>
  </si>
  <si>
    <t>12 0 01 109702</t>
  </si>
  <si>
    <t>Софинансирование на обеспечение проживающих в аварийном жилищном фонде граждан жилыми помещениями в рамках областной адресной программы "Обеспечение устойчивого сокращения непригодного для проживания жилищного фонда Владимирской области" (Социальное обеспечение и иные выплаты населению)</t>
  </si>
  <si>
    <t>12 0 01 1S9702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</si>
  <si>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(Социальное обеспечение и иные выплаты населению)</t>
  </si>
  <si>
    <t>12 0 0F 309502</t>
  </si>
  <si>
    <t>12 0 F3 67483</t>
  </si>
  <si>
    <t>Субсидии на обеспечение устойчивого сокращения непригодного для проживания жилищного фонда (Социальное обеспечение и иные выплаты населению)</t>
  </si>
  <si>
    <t xml:space="preserve">12 0 0F 309602 </t>
  </si>
  <si>
    <t>12 0 F3 67484</t>
  </si>
  <si>
    <t>12 0 F3 6748S</t>
  </si>
  <si>
    <t>Расходы на оплату судебных решений (Иные бюджетные ассигнования)</t>
  </si>
  <si>
    <t>99 9 00 20300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</si>
  <si>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</si>
  <si>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</si>
  <si>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</si>
  <si>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(Прочая закупка товаров, работ и услуг)</t>
  </si>
  <si>
    <t>13 0 01 20110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</si>
  <si>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</si>
  <si>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13 0 02</t>
  </si>
  <si>
    <t>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</si>
  <si>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>13 0 02 29601</t>
  </si>
  <si>
    <t>600</t>
  </si>
  <si>
    <t>Коммунальное хозяйство</t>
  </si>
  <si>
    <t>Проведение мероприятий по разработке, экспертизе проектно-сметной документации для строительства газопровода (Межбюджетные трансферты)</t>
  </si>
  <si>
    <t>Проведение мероприятий по разработке, экспертизе проектно-сметной документации для строительства газопровода (Прочая закупка товаров, работ и услуг)</t>
  </si>
  <si>
    <t>99 9 00 20050</t>
  </si>
  <si>
    <t>Проведение мероприятий по разработке, экспертизе проектно-сметной документации для строительства модульных котельных (Капитальные вложения в объекты государственной
(муниципальной) собственности)</t>
  </si>
  <si>
    <t>99 9 00 40140</t>
  </si>
  <si>
    <t>Проведение мероприятий по разработке, экспертизе проектно-сметной документации для заключения концессионных соглашений (Капитальные вложения в объекты государственной
(муниципальной) собственности)</t>
  </si>
  <si>
    <t>99 9 00 40150</t>
  </si>
  <si>
    <t>Расходы на оплату судебных решений (Прочая закупка товаров, работ и услуг)</t>
  </si>
  <si>
    <t>Благоустройство</t>
  </si>
  <si>
    <t>Основное мероприятие "Проведение противопожарных мероприятий "</t>
  </si>
  <si>
    <t>06</t>
  </si>
  <si>
    <t>Основное мероприятие "Уличное освещение"</t>
  </si>
  <si>
    <t xml:space="preserve">06 0 02 </t>
  </si>
  <si>
    <t>Уличное освещение (Прочая закупка товаров, работ и услуг)</t>
  </si>
  <si>
    <t>06 0 02 20120</t>
  </si>
  <si>
    <t>Уличное освещение (Иные бюджетные ассигнования)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</si>
  <si>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</si>
  <si>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</si>
  <si>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(Прочая закупка товаров, работ и услуг)</t>
  </si>
  <si>
    <t>06 0 03 20130</t>
  </si>
  <si>
    <t>Увековечивание памяти погибших при защите Отечества  (Прочая закупка товаров, работ и услуг)</t>
  </si>
  <si>
    <t>06 0 03 L299F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</si>
  <si>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</si>
  <si>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</si>
  <si>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(Прочая закупка товаров, работ и услуг)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</si>
  <si>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</si>
  <si>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</si>
  <si>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</si>
  <si>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(Прочая закупка товаров, работ и услуг)</t>
  </si>
  <si>
    <t>06 0 05 20132</t>
  </si>
  <si>
    <t>Муниципальная программа "Формирование комфортной городской среды муниципального образования город Струнино"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</si>
  <si>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бюджетов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</si>
  <si>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</si>
  <si>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</si>
  <si>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14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</si>
  <si>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</si>
  <si>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</si>
  <si>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Основное мероприятие " Благоустройство дворовых территорий"</t>
  </si>
  <si>
    <t>14 0 01</t>
  </si>
  <si>
    <t>Благоустройство дворовых территорий  (Прочая закупка товаров, работ и услуг)</t>
  </si>
  <si>
    <t>14 0 01 L0133</t>
  </si>
  <si>
    <t>Основное мероприятие " Благоустройство общественных территорий"</t>
  </si>
  <si>
    <t>14 0 02</t>
  </si>
  <si>
    <t>Благоустройство территорий города Струнино (Прочая закупка товаров, работ и услуг)</t>
  </si>
  <si>
    <t>14 0 02 L0134</t>
  </si>
  <si>
    <t>Основное мероприятие "Разработка дизайн-проектов"</t>
  </si>
  <si>
    <t xml:space="preserve">14 0 03 </t>
  </si>
  <si>
    <t>Проведение мероприятий по разработке дизайн-проектов (Прочая закупка товаров, работ и услуг)</t>
  </si>
  <si>
    <t>14 0 03 20136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</si>
  <si>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</si>
  <si>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</si>
  <si>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(Прочая закупка товаров, работ и услуг)</t>
  </si>
  <si>
    <t>14 0 04 20137</t>
  </si>
  <si>
    <t>Муниципальная программа "Энергосбережение и повышение энергоэффективности в муниципальном образовании город Струнино"</t>
  </si>
  <si>
    <t xml:space="preserve">19 </t>
  </si>
  <si>
    <t>Основное мероприятие "Оплата энергосервисного контракта"</t>
  </si>
  <si>
    <t>19 0 01</t>
  </si>
  <si>
    <t>Проведение мероприятий по оплате энергосервисного контракта (Прочая закупка товаров, работ и услуг)</t>
  </si>
  <si>
    <t>19 0 01 20190</t>
  </si>
  <si>
    <t>Другие вопросы в области жилищно-коммунального хозяйства</t>
  </si>
  <si>
    <t>Охрана окружающей среды</t>
  </si>
  <si>
    <t xml:space="preserve">Другие вопросы в области охраны окружающей среды
</t>
  </si>
  <si>
    <t>Основное мероприятие "Ликвидация стихийных свалок"</t>
  </si>
  <si>
    <t>06 0 06</t>
  </si>
  <si>
    <t>Ликвидация стихийных свалок (Прочая закупка товаров, работ и услуг) нужд)</t>
  </si>
  <si>
    <t>06 0 06 20150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</si>
  <si>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</si>
  <si>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</si>
  <si>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</si>
  <si>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</si>
  <si>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"Проведение культурно-массовых мероприятий"</t>
  </si>
  <si>
    <t>15 0 01</t>
  </si>
  <si>
    <t>Проведение культурно-массовых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</si>
  <si>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</si>
  <si>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</si>
  <si>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</si>
  <si>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</si>
  <si>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</si>
  <si>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укрепление материально-технической базы  муниципальных учреждений культуры за счет средств областного бюджета (Предоставление субсидий бюджетным, автономным учреждениям и иным некоммерческим организациям)</t>
  </si>
  <si>
    <t>16 0 01 70531</t>
  </si>
  <si>
    <t>Мероприятия по софинансированию расходов на 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</si>
  <si>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16 0 01 60531</t>
  </si>
  <si>
    <t>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</si>
  <si>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16 0 01 S0531</t>
  </si>
  <si>
    <t>16 0 А1 5519D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</si>
  <si>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</si>
  <si>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</si>
  <si>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</si>
  <si>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</si>
  <si>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</si>
  <si>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</si>
  <si>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Расходы на обеспечение деятельности (оказание услуг) дворцов и домов культуры, других учреждений культуры  (Предоставление субсидий бюджетным, автономным учреждениям и иным некоммерческим организациям)</t>
  </si>
  <si>
    <t>99 9 00 6Д590</t>
  </si>
  <si>
    <t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</si>
  <si>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>99 9 00 6Б590</t>
  </si>
  <si>
    <t>Софинансирование расходов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</si>
  <si>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99 9 00 60390</t>
  </si>
  <si>
    <t>Субсидии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</si>
  <si>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99 9 00 70390</t>
  </si>
  <si>
    <t>99 9 00 S0390</t>
  </si>
  <si>
    <t>Социальная политика</t>
  </si>
  <si>
    <t>Пенсионное обеспечение</t>
  </si>
  <si>
    <t>Основное мероприятие "Доплата к пенсии за выслугу лет "</t>
  </si>
  <si>
    <t>01 0 03</t>
  </si>
  <si>
    <t>Доплата к пенсии за выслугу лет (Социальное обеспечение и иные выплаты населению)</t>
  </si>
  <si>
    <t>01 0 03 80010</t>
  </si>
  <si>
    <t>300</t>
  </si>
  <si>
    <t>Социальное обеспечение населения</t>
  </si>
  <si>
    <t>Муниципальная программа "Переселение граждан из аварийного жилищного фонда в муниципальном образовании город Струнино"</t>
  </si>
  <si>
    <t>Основное мероприятие "Переселение граждан из аварийного жилищного фонда"</t>
  </si>
  <si>
    <t>Субсидии на обеспечение проживающих в аврийном жилищном фонде граждан жилыми помещениями в рамках областной адресной программы "Обеспечение устойчивого сокращения непригодного для проживания жилищного фонда Владимирской области" (Социальное обеспечение и иные выплаты населению)</t>
  </si>
  <si>
    <t>12 0 01 09702</t>
  </si>
  <si>
    <t>Софинансирование на обеспечение проживающих в аврийном жилищном фонде граждан жилыми помещениями в рамках областной адресной программы "Обеспечение устойчивого сокращения непригодного для проживания жилищного фонда Владимирской области" (Социальное обеспечение и иные выплаты населению)</t>
  </si>
  <si>
    <t>12 0 01 S9702</t>
  </si>
  <si>
    <t>Переселение граждан из аварийного жилищного фонда (Социальное обеспечение и иные выплаты населению)</t>
  </si>
  <si>
    <t>Основное мероприятие "Обеспечение устойчивого сокращения непригодного для проживания жилищного фонда"</t>
  </si>
  <si>
    <t>12 0 F3</t>
  </si>
  <si>
    <t>12 0 F3 09502</t>
  </si>
  <si>
    <t>12 0F 30 9602</t>
  </si>
  <si>
    <t>Софинансирование на обеспечение устойчивого сокращения непригодного для проживания жилищного фонда (Социальное обеспечение и иные выплаты населению)</t>
  </si>
  <si>
    <t>Муниципальная программа "Обеспечение жильем молодых семей города Струнино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</si>
  <si>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</si>
  <si>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</si>
  <si>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</si>
  <si>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</si>
  <si>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17 0 01 10200</t>
  </si>
  <si>
    <t>Реализация мероприятий по обеспечению жильем многодетных семей (Межбюджетные трансферты)</t>
  </si>
  <si>
    <t>99 9 00 10810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</si>
  <si>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</si>
  <si>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99 9 00 70150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</si>
  <si>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(Социальное обеспечение и иные выплаты населению)</t>
  </si>
  <si>
    <t>99 9 00 60150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</si>
  <si>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</si>
  <si>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</si>
  <si>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99 9 00 80020</t>
  </si>
  <si>
    <t>Охрана семьи и детства</t>
  </si>
  <si>
    <t>17 0 01 14970</t>
  </si>
  <si>
    <t>Физическая культура и спорт</t>
  </si>
  <si>
    <t>Физическая культура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</si>
  <si>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</si>
  <si>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99 9 00 6Ф590</t>
  </si>
  <si>
    <t>Массовый спорт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</si>
  <si>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</si>
  <si>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</si>
  <si>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"Развитие физической культуры"</t>
  </si>
  <si>
    <t>18 0 01</t>
  </si>
  <si>
    <t>Проведение физкультурно-массовых мероприятий (Предоставление субсидий бюджетным, автономным учреждениям и иным некоммерческим организациям)</t>
  </si>
  <si>
    <t>18 0 01 20180</t>
  </si>
  <si>
    <t>Расходы на мероприятия по разработке проектно-сметной документации на реконструкцию стадиона МБУ "СДЮСОЦ" (Капитальные вложения в объекты государственной (муниципальной) собственности)</t>
  </si>
  <si>
    <t xml:space="preserve">18 0 01 30180 </t>
  </si>
  <si>
    <t>Другие вопросы в области физической культуры и спорта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</si>
</sst>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0.0"/>
    <numFmt numFmtId="167" formatCode="0000000"/>
    <numFmt numFmtId="168" formatCode="000"/>
    <numFmt numFmtId="169" formatCode="0.00"/>
    <numFmt numFmtId="170" formatCode="0.00000"/>
    <numFmt numFmtId="171" formatCode="0.000"/>
    <numFmt numFmtId="172" formatCode="0.0000"/>
    <numFmt numFmtId="173" formatCode="General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1" fillId="8" borderId="0" applyNumberFormat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2" fillId="8" borderId="1" applyNumberFormat="0" applyAlignment="0" applyProtection="0"/>
    <xf numFmtId="164" fontId="12" fillId="8" borderId="1" applyNumberFormat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5" fontId="13" fillId="0" borderId="2">
      <alignment horizontal="left" shrinkToFit="1"/>
      <protection/>
    </xf>
    <xf numFmtId="164" fontId="14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16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9" borderId="0" xfId="0" applyFill="1" applyAlignment="1">
      <alignment/>
    </xf>
    <xf numFmtId="164" fontId="0" fillId="8" borderId="0" xfId="0" applyFill="1" applyAlignment="1">
      <alignment/>
    </xf>
    <xf numFmtId="166" fontId="0" fillId="0" borderId="0" xfId="0" applyNumberFormat="1" applyFill="1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 wrapText="1"/>
    </xf>
    <xf numFmtId="164" fontId="0" fillId="0" borderId="0" xfId="0" applyFont="1" applyBorder="1" applyAlignment="1">
      <alignment horizontal="center" vertical="center" wrapText="1"/>
    </xf>
    <xf numFmtId="164" fontId="9" fillId="0" borderId="0" xfId="0" applyFont="1" applyAlignment="1">
      <alignment vertical="center"/>
    </xf>
    <xf numFmtId="164" fontId="9" fillId="0" borderId="0" xfId="0" applyFont="1" applyAlignment="1">
      <alignment horizontal="center" vertical="center"/>
    </xf>
    <xf numFmtId="164" fontId="15" fillId="0" borderId="0" xfId="0" applyFont="1" applyBorder="1" applyAlignment="1">
      <alignment horizontal="right" vertical="top" wrapText="1"/>
    </xf>
    <xf numFmtId="166" fontId="15" fillId="0" borderId="0" xfId="0" applyNumberFormat="1" applyFont="1" applyBorder="1" applyAlignment="1">
      <alignment horizontal="right" vertical="top" wrapText="1"/>
    </xf>
    <xf numFmtId="164" fontId="16" fillId="0" borderId="0" xfId="0" applyFont="1" applyAlignment="1">
      <alignment vertical="center" wrapText="1"/>
    </xf>
    <xf numFmtId="164" fontId="16" fillId="0" borderId="0" xfId="0" applyFont="1" applyAlignment="1">
      <alignment horizontal="center" vertical="center" wrapText="1"/>
    </xf>
    <xf numFmtId="164" fontId="17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8" fillId="8" borderId="0" xfId="0" applyFont="1" applyFill="1" applyAlignment="1">
      <alignment/>
    </xf>
    <xf numFmtId="166" fontId="18" fillId="0" borderId="0" xfId="0" applyNumberFormat="1" applyFont="1" applyFill="1" applyAlignment="1">
      <alignment/>
    </xf>
    <xf numFmtId="164" fontId="18" fillId="0" borderId="0" xfId="0" applyFont="1" applyFill="1" applyAlignment="1">
      <alignment/>
    </xf>
    <xf numFmtId="164" fontId="19" fillId="0" borderId="2" xfId="0" applyFont="1" applyFill="1" applyBorder="1" applyAlignment="1">
      <alignment horizontal="center" vertical="center" textRotation="90" wrapText="1"/>
    </xf>
    <xf numFmtId="164" fontId="18" fillId="9" borderId="2" xfId="0" applyFont="1" applyFill="1" applyBorder="1" applyAlignment="1">
      <alignment horizontal="center" vertical="center" wrapText="1"/>
    </xf>
    <xf numFmtId="164" fontId="20" fillId="9" borderId="2" xfId="0" applyFont="1" applyFill="1" applyBorder="1" applyAlignment="1">
      <alignment horizontal="center" vertic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167" fontId="19" fillId="0" borderId="2" xfId="0" applyNumberFormat="1" applyFont="1" applyFill="1" applyBorder="1" applyAlignment="1">
      <alignment horizontal="center" vertical="center" wrapText="1"/>
    </xf>
    <xf numFmtId="168" fontId="19" fillId="0" borderId="3" xfId="0" applyNumberFormat="1" applyFont="1" applyFill="1" applyBorder="1" applyAlignment="1">
      <alignment horizontal="center" vertical="center" wrapText="1"/>
    </xf>
    <xf numFmtId="164" fontId="21" fillId="9" borderId="2" xfId="0" applyFont="1" applyFill="1" applyBorder="1" applyAlignment="1">
      <alignment horizontal="center" vertical="center" wrapText="1"/>
    </xf>
    <xf numFmtId="164" fontId="21" fillId="8" borderId="2" xfId="0" applyFont="1" applyFill="1" applyBorder="1" applyAlignment="1">
      <alignment horizontal="center" vertical="center" wrapText="1"/>
    </xf>
    <xf numFmtId="166" fontId="21" fillId="0" borderId="2" xfId="0" applyNumberFormat="1" applyFont="1" applyFill="1" applyBorder="1" applyAlignment="1">
      <alignment horizontal="center" vertical="center" wrapText="1"/>
    </xf>
    <xf numFmtId="164" fontId="21" fillId="0" borderId="2" xfId="0" applyFont="1" applyFill="1" applyBorder="1" applyAlignment="1">
      <alignment horizontal="center" vertical="center" wrapText="1"/>
    </xf>
    <xf numFmtId="165" fontId="18" fillId="9" borderId="2" xfId="0" applyNumberFormat="1" applyFont="1" applyFill="1" applyBorder="1" applyAlignment="1">
      <alignment horizontal="center" vertical="center" wrapText="1"/>
    </xf>
    <xf numFmtId="164" fontId="18" fillId="9" borderId="2" xfId="0" applyFont="1" applyFill="1" applyBorder="1" applyAlignment="1">
      <alignment horizontal="left" vertical="top" wrapText="1"/>
    </xf>
    <xf numFmtId="165" fontId="9" fillId="9" borderId="2" xfId="0" applyNumberFormat="1" applyFont="1" applyFill="1" applyBorder="1" applyAlignment="1">
      <alignment horizontal="center" vertical="center" wrapText="1"/>
    </xf>
    <xf numFmtId="165" fontId="9" fillId="9" borderId="2" xfId="0" applyNumberFormat="1" applyFont="1" applyFill="1" applyBorder="1" applyAlignment="1">
      <alignment horizontal="left" vertical="center" wrapText="1"/>
    </xf>
    <xf numFmtId="169" fontId="18" fillId="9" borderId="2" xfId="0" applyNumberFormat="1" applyFont="1" applyFill="1" applyBorder="1" applyAlignment="1">
      <alignment horizontal="center" vertical="center" wrapText="1"/>
    </xf>
    <xf numFmtId="170" fontId="18" fillId="8" borderId="2" xfId="0" applyNumberFormat="1" applyFont="1" applyFill="1" applyBorder="1" applyAlignment="1">
      <alignment horizontal="center" vertical="center" wrapText="1"/>
    </xf>
    <xf numFmtId="170" fontId="18" fillId="9" borderId="2" xfId="0" applyNumberFormat="1" applyFont="1" applyFill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center" vertical="center" wrapText="1"/>
    </xf>
    <xf numFmtId="170" fontId="18" fillId="0" borderId="2" xfId="0" applyNumberFormat="1" applyFont="1" applyFill="1" applyBorder="1" applyAlignment="1">
      <alignment horizontal="center" vertical="center" wrapText="1"/>
    </xf>
    <xf numFmtId="164" fontId="0" fillId="0" borderId="4" xfId="0" applyBorder="1" applyAlignment="1">
      <alignment/>
    </xf>
    <xf numFmtId="164" fontId="18" fillId="0" borderId="2" xfId="0" applyFont="1" applyBorder="1" applyAlignment="1">
      <alignment horizontal="left" vertical="top" wrapText="1"/>
    </xf>
    <xf numFmtId="165" fontId="9" fillId="0" borderId="2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left" vertical="center" wrapText="1"/>
    </xf>
    <xf numFmtId="165" fontId="18" fillId="9" borderId="2" xfId="0" applyNumberFormat="1" applyFont="1" applyFill="1" applyBorder="1" applyAlignment="1">
      <alignment horizontal="left" vertical="center" wrapText="1"/>
    </xf>
    <xf numFmtId="169" fontId="18" fillId="8" borderId="2" xfId="0" applyNumberFormat="1" applyFont="1" applyFill="1" applyBorder="1" applyAlignment="1">
      <alignment horizontal="center" vertical="center" wrapText="1"/>
    </xf>
    <xf numFmtId="171" fontId="18" fillId="9" borderId="2" xfId="0" applyNumberFormat="1" applyFont="1" applyFill="1" applyBorder="1" applyAlignment="1">
      <alignment horizontal="center" vertical="center" wrapText="1"/>
    </xf>
    <xf numFmtId="164" fontId="22" fillId="0" borderId="2" xfId="0" applyFont="1" applyFill="1" applyBorder="1" applyAlignment="1">
      <alignment horizontal="left" vertical="top" wrapText="1"/>
    </xf>
    <xf numFmtId="165" fontId="23" fillId="9" borderId="2" xfId="0" applyNumberFormat="1" applyFont="1" applyFill="1" applyBorder="1" applyAlignment="1">
      <alignment horizontal="center" vertical="center" wrapText="1"/>
    </xf>
    <xf numFmtId="165" fontId="23" fillId="9" borderId="2" xfId="0" applyNumberFormat="1" applyFont="1" applyFill="1" applyBorder="1" applyAlignment="1">
      <alignment horizontal="left" vertical="center" wrapText="1"/>
    </xf>
    <xf numFmtId="169" fontId="23" fillId="9" borderId="2" xfId="0" applyNumberFormat="1" applyFont="1" applyFill="1" applyBorder="1" applyAlignment="1">
      <alignment horizontal="center" vertical="center" wrapText="1"/>
    </xf>
    <xf numFmtId="169" fontId="23" fillId="8" borderId="2" xfId="0" applyNumberFormat="1" applyFont="1" applyFill="1" applyBorder="1" applyAlignment="1">
      <alignment horizontal="center" vertical="center" wrapText="1"/>
    </xf>
    <xf numFmtId="166" fontId="23" fillId="0" borderId="2" xfId="0" applyNumberFormat="1" applyFont="1" applyFill="1" applyBorder="1" applyAlignment="1">
      <alignment horizontal="center" vertical="center" wrapText="1"/>
    </xf>
    <xf numFmtId="164" fontId="22" fillId="0" borderId="2" xfId="0" applyNumberFormat="1" applyFont="1" applyFill="1" applyBorder="1" applyAlignment="1">
      <alignment horizontal="left" vertical="top" wrapText="1"/>
    </xf>
    <xf numFmtId="164" fontId="22" fillId="0" borderId="5" xfId="0" applyNumberFormat="1" applyFont="1" applyFill="1" applyBorder="1" applyAlignment="1">
      <alignment horizontal="left" vertical="top" wrapText="1"/>
    </xf>
    <xf numFmtId="164" fontId="21" fillId="0" borderId="2" xfId="0" applyFont="1" applyFill="1" applyBorder="1" applyAlignment="1">
      <alignment horizontal="left" vertical="top" wrapText="1"/>
    </xf>
    <xf numFmtId="171" fontId="18" fillId="8" borderId="2" xfId="0" applyNumberFormat="1" applyFont="1" applyFill="1" applyBorder="1" applyAlignment="1">
      <alignment horizontal="center" vertical="center" wrapText="1"/>
    </xf>
    <xf numFmtId="164" fontId="23" fillId="9" borderId="2" xfId="0" applyFont="1" applyFill="1" applyBorder="1" applyAlignment="1">
      <alignment horizontal="left" vertical="top" wrapText="1"/>
    </xf>
    <xf numFmtId="171" fontId="23" fillId="8" borderId="2" xfId="0" applyNumberFormat="1" applyFont="1" applyFill="1" applyBorder="1" applyAlignment="1">
      <alignment horizontal="center" vertical="center" wrapText="1"/>
    </xf>
    <xf numFmtId="165" fontId="23" fillId="0" borderId="2" xfId="0" applyNumberFormat="1" applyFont="1" applyBorder="1" applyAlignment="1">
      <alignment horizontal="left" vertical="top" wrapText="1"/>
    </xf>
    <xf numFmtId="165" fontId="23" fillId="0" borderId="2" xfId="0" applyNumberFormat="1" applyFont="1" applyBorder="1" applyAlignment="1">
      <alignment horizontal="center" vertical="center"/>
    </xf>
    <xf numFmtId="165" fontId="23" fillId="0" borderId="2" xfId="0" applyNumberFormat="1" applyFont="1" applyBorder="1" applyAlignment="1">
      <alignment horizontal="left" vertical="center"/>
    </xf>
    <xf numFmtId="169" fontId="23" fillId="9" borderId="2" xfId="0" applyNumberFormat="1" applyFont="1" applyFill="1" applyBorder="1" applyAlignment="1">
      <alignment horizontal="center" vertical="center"/>
    </xf>
    <xf numFmtId="171" fontId="23" fillId="8" borderId="2" xfId="0" applyNumberFormat="1" applyFont="1" applyFill="1" applyBorder="1" applyAlignment="1">
      <alignment horizontal="center" vertical="center"/>
    </xf>
    <xf numFmtId="166" fontId="23" fillId="0" borderId="2" xfId="0" applyNumberFormat="1" applyFont="1" applyFill="1" applyBorder="1" applyAlignment="1">
      <alignment horizontal="center" vertical="center"/>
    </xf>
    <xf numFmtId="169" fontId="22" fillId="0" borderId="2" xfId="0" applyNumberFormat="1" applyFont="1" applyFill="1" applyBorder="1" applyAlignment="1">
      <alignment horizontal="left" vertical="top" wrapText="1"/>
    </xf>
    <xf numFmtId="169" fontId="23" fillId="0" borderId="2" xfId="0" applyNumberFormat="1" applyFont="1" applyBorder="1" applyAlignment="1">
      <alignment horizontal="center" vertical="center"/>
    </xf>
    <xf numFmtId="169" fontId="23" fillId="8" borderId="2" xfId="0" applyNumberFormat="1" applyFont="1" applyFill="1" applyBorder="1" applyAlignment="1">
      <alignment horizontal="center" vertical="center"/>
    </xf>
    <xf numFmtId="165" fontId="24" fillId="0" borderId="2" xfId="0" applyNumberFormat="1" applyFont="1" applyFill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left" vertical="center" wrapText="1"/>
    </xf>
    <xf numFmtId="165" fontId="23" fillId="0" borderId="5" xfId="0" applyNumberFormat="1" applyFont="1" applyBorder="1" applyAlignment="1">
      <alignment horizontal="center" vertical="center"/>
    </xf>
    <xf numFmtId="165" fontId="23" fillId="0" borderId="5" xfId="0" applyNumberFormat="1" applyFont="1" applyBorder="1" applyAlignment="1">
      <alignment horizontal="left" vertical="center"/>
    </xf>
    <xf numFmtId="169" fontId="23" fillId="0" borderId="5" xfId="0" applyNumberFormat="1" applyFont="1" applyBorder="1" applyAlignment="1">
      <alignment horizontal="center" vertical="center"/>
    </xf>
    <xf numFmtId="171" fontId="23" fillId="8" borderId="5" xfId="0" applyNumberFormat="1" applyFont="1" applyFill="1" applyBorder="1" applyAlignment="1">
      <alignment horizontal="center" vertical="center"/>
    </xf>
    <xf numFmtId="166" fontId="23" fillId="0" borderId="5" xfId="0" applyNumberFormat="1" applyFont="1" applyFill="1" applyBorder="1" applyAlignment="1">
      <alignment horizontal="center" vertical="center"/>
    </xf>
    <xf numFmtId="164" fontId="23" fillId="0" borderId="2" xfId="0" applyFont="1" applyBorder="1" applyAlignment="1">
      <alignment horizontal="left" vertical="top" wrapText="1"/>
    </xf>
    <xf numFmtId="164" fontId="18" fillId="0" borderId="2" xfId="0" applyFont="1" applyBorder="1" applyAlignment="1">
      <alignment horizontal="left" vertical="top"/>
    </xf>
    <xf numFmtId="165" fontId="18" fillId="0" borderId="2" xfId="0" applyNumberFormat="1" applyFont="1" applyBorder="1" applyAlignment="1">
      <alignment horizontal="center" vertical="center"/>
    </xf>
    <xf numFmtId="165" fontId="18" fillId="0" borderId="2" xfId="0" applyNumberFormat="1" applyFont="1" applyBorder="1" applyAlignment="1">
      <alignment horizontal="left" vertical="center"/>
    </xf>
    <xf numFmtId="169" fontId="18" fillId="9" borderId="2" xfId="0" applyNumberFormat="1" applyFont="1" applyFill="1" applyBorder="1" applyAlignment="1">
      <alignment horizontal="center" vertical="center"/>
    </xf>
    <xf numFmtId="169" fontId="18" fillId="8" borderId="2" xfId="0" applyNumberFormat="1" applyFont="1" applyFill="1" applyBorder="1" applyAlignment="1">
      <alignment horizontal="center" vertical="center"/>
    </xf>
    <xf numFmtId="166" fontId="18" fillId="0" borderId="2" xfId="0" applyNumberFormat="1" applyFont="1" applyFill="1" applyBorder="1" applyAlignment="1">
      <alignment horizontal="center" vertical="center"/>
    </xf>
    <xf numFmtId="169" fontId="18" fillId="0" borderId="2" xfId="0" applyNumberFormat="1" applyFont="1" applyFill="1" applyBorder="1" applyAlignment="1">
      <alignment horizontal="center" vertical="center" wrapText="1"/>
    </xf>
    <xf numFmtId="169" fontId="22" fillId="9" borderId="2" xfId="0" applyNumberFormat="1" applyFont="1" applyFill="1" applyBorder="1" applyAlignment="1">
      <alignment horizontal="center" vertical="center"/>
    </xf>
    <xf numFmtId="169" fontId="22" fillId="8" borderId="2" xfId="0" applyNumberFormat="1" applyFont="1" applyFill="1" applyBorder="1" applyAlignment="1">
      <alignment horizontal="center" vertical="center"/>
    </xf>
    <xf numFmtId="166" fontId="22" fillId="0" borderId="2" xfId="0" applyNumberFormat="1" applyFont="1" applyFill="1" applyBorder="1" applyAlignment="1">
      <alignment horizontal="center" vertical="center"/>
    </xf>
    <xf numFmtId="169" fontId="21" fillId="0" borderId="2" xfId="0" applyNumberFormat="1" applyFont="1" applyFill="1" applyBorder="1" applyAlignment="1">
      <alignment horizontal="center" vertical="center" wrapText="1"/>
    </xf>
    <xf numFmtId="169" fontId="18" fillId="0" borderId="2" xfId="0" applyNumberFormat="1" applyFont="1" applyBorder="1" applyAlignment="1">
      <alignment horizontal="center" vertical="center"/>
    </xf>
    <xf numFmtId="170" fontId="18" fillId="8" borderId="2" xfId="0" applyNumberFormat="1" applyFont="1" applyFill="1" applyBorder="1" applyAlignment="1">
      <alignment horizontal="center" vertical="center"/>
    </xf>
    <xf numFmtId="166" fontId="21" fillId="0" borderId="2" xfId="0" applyNumberFormat="1" applyFont="1" applyFill="1" applyBorder="1" applyAlignment="1">
      <alignment horizontal="center" vertical="center"/>
    </xf>
    <xf numFmtId="164" fontId="22" fillId="0" borderId="6" xfId="0" applyNumberFormat="1" applyFont="1" applyFill="1" applyBorder="1" applyAlignment="1">
      <alignment horizontal="left" vertical="top" wrapText="1"/>
    </xf>
    <xf numFmtId="165" fontId="23" fillId="0" borderId="6" xfId="0" applyNumberFormat="1" applyFont="1" applyBorder="1" applyAlignment="1">
      <alignment horizontal="center" vertical="center"/>
    </xf>
    <xf numFmtId="165" fontId="23" fillId="0" borderId="6" xfId="0" applyNumberFormat="1" applyFont="1" applyBorder="1" applyAlignment="1">
      <alignment horizontal="left" vertical="center"/>
    </xf>
    <xf numFmtId="169" fontId="23" fillId="9" borderId="6" xfId="0" applyNumberFormat="1" applyFont="1" applyFill="1" applyBorder="1" applyAlignment="1">
      <alignment horizontal="center" vertical="center"/>
    </xf>
    <xf numFmtId="169" fontId="23" fillId="8" borderId="6" xfId="0" applyNumberFormat="1" applyFont="1" applyFill="1" applyBorder="1" applyAlignment="1">
      <alignment horizontal="center" vertical="center"/>
    </xf>
    <xf numFmtId="166" fontId="23" fillId="0" borderId="6" xfId="0" applyNumberFormat="1" applyFont="1" applyFill="1" applyBorder="1" applyAlignment="1">
      <alignment horizontal="center" vertical="center"/>
    </xf>
    <xf numFmtId="172" fontId="23" fillId="8" borderId="2" xfId="0" applyNumberFormat="1" applyFont="1" applyFill="1" applyBorder="1" applyAlignment="1">
      <alignment horizontal="center" vertical="center"/>
    </xf>
    <xf numFmtId="164" fontId="22" fillId="9" borderId="2" xfId="69" applyFont="1" applyFill="1" applyBorder="1" applyAlignment="1">
      <alignment horizontal="left" vertical="top" wrapText="1"/>
      <protection/>
    </xf>
    <xf numFmtId="170" fontId="22" fillId="8" borderId="2" xfId="0" applyNumberFormat="1" applyFont="1" applyFill="1" applyBorder="1" applyAlignment="1">
      <alignment horizontal="center" vertical="center"/>
    </xf>
    <xf numFmtId="170" fontId="21" fillId="9" borderId="2" xfId="0" applyNumberFormat="1" applyFont="1" applyFill="1" applyBorder="1" applyAlignment="1">
      <alignment horizontal="center" vertical="center" wrapText="1"/>
    </xf>
    <xf numFmtId="171" fontId="21" fillId="9" borderId="2" xfId="0" applyNumberFormat="1" applyFont="1" applyFill="1" applyBorder="1" applyAlignment="1">
      <alignment horizontal="center" vertical="center" wrapText="1"/>
    </xf>
    <xf numFmtId="170" fontId="21" fillId="0" borderId="2" xfId="0" applyNumberFormat="1" applyFont="1" applyFill="1" applyBorder="1" applyAlignment="1">
      <alignment horizontal="center" vertical="center" wrapText="1"/>
    </xf>
    <xf numFmtId="171" fontId="22" fillId="8" borderId="2" xfId="0" applyNumberFormat="1" applyFont="1" applyFill="1" applyBorder="1" applyAlignment="1">
      <alignment horizontal="center" vertical="center"/>
    </xf>
    <xf numFmtId="164" fontId="23" fillId="0" borderId="2" xfId="0" applyFont="1" applyBorder="1" applyAlignment="1">
      <alignment vertical="center" wrapText="1"/>
    </xf>
    <xf numFmtId="165" fontId="23" fillId="0" borderId="2" xfId="0" applyNumberFormat="1" applyFont="1" applyFill="1" applyBorder="1" applyAlignment="1">
      <alignment horizontal="left" vertical="center"/>
    </xf>
    <xf numFmtId="164" fontId="22" fillId="9" borderId="2" xfId="0" applyNumberFormat="1" applyFont="1" applyFill="1" applyBorder="1" applyAlignment="1">
      <alignment horizontal="left" vertical="top" wrapText="1"/>
    </xf>
    <xf numFmtId="165" fontId="22" fillId="0" borderId="5" xfId="0" applyNumberFormat="1" applyFont="1" applyFill="1" applyBorder="1" applyAlignment="1">
      <alignment horizontal="center" vertical="center" wrapText="1"/>
    </xf>
    <xf numFmtId="165" fontId="22" fillId="0" borderId="2" xfId="0" applyNumberFormat="1" applyFont="1" applyBorder="1" applyAlignment="1">
      <alignment horizontal="left" vertical="center"/>
    </xf>
    <xf numFmtId="169" fontId="23" fillId="9" borderId="2" xfId="0" applyNumberFormat="1" applyFont="1" applyFill="1" applyBorder="1" applyAlignment="1">
      <alignment horizontal="center" vertical="top"/>
    </xf>
    <xf numFmtId="171" fontId="23" fillId="8" borderId="2" xfId="0" applyNumberFormat="1" applyFont="1" applyFill="1" applyBorder="1" applyAlignment="1">
      <alignment horizontal="center" vertical="top"/>
    </xf>
    <xf numFmtId="166" fontId="23" fillId="0" borderId="2" xfId="0" applyNumberFormat="1" applyFont="1" applyFill="1" applyBorder="1" applyAlignment="1">
      <alignment horizontal="center" vertical="top"/>
    </xf>
    <xf numFmtId="170" fontId="21" fillId="9" borderId="2" xfId="0" applyNumberFormat="1" applyFont="1" applyFill="1" applyBorder="1" applyAlignment="1">
      <alignment horizontal="center" vertical="top" wrapText="1"/>
    </xf>
    <xf numFmtId="165" fontId="23" fillId="0" borderId="2" xfId="70" applyNumberFormat="1" applyFont="1" applyFill="1" applyBorder="1" applyAlignment="1">
      <alignment horizontal="left" vertical="center"/>
      <protection/>
    </xf>
    <xf numFmtId="171" fontId="23" fillId="0" borderId="2" xfId="0" applyNumberFormat="1" applyFont="1" applyFill="1" applyBorder="1" applyAlignment="1">
      <alignment horizontal="center" vertical="center"/>
    </xf>
    <xf numFmtId="172" fontId="18" fillId="8" borderId="2" xfId="0" applyNumberFormat="1" applyFont="1" applyFill="1" applyBorder="1" applyAlignment="1">
      <alignment horizontal="center" vertical="center"/>
    </xf>
    <xf numFmtId="172" fontId="18" fillId="0" borderId="2" xfId="0" applyNumberFormat="1" applyFont="1" applyFill="1" applyBorder="1" applyAlignment="1">
      <alignment horizontal="center" vertical="center" wrapText="1"/>
    </xf>
    <xf numFmtId="164" fontId="23" fillId="8" borderId="2" xfId="0" applyNumberFormat="1" applyFont="1" applyFill="1" applyBorder="1" applyAlignment="1">
      <alignment horizontal="center" vertical="center"/>
    </xf>
    <xf numFmtId="164" fontId="22" fillId="9" borderId="2" xfId="0" applyFont="1" applyFill="1" applyBorder="1" applyAlignment="1">
      <alignment horizontal="left" vertical="top" wrapText="1"/>
    </xf>
    <xf numFmtId="172" fontId="21" fillId="0" borderId="2" xfId="0" applyNumberFormat="1" applyFont="1" applyFill="1" applyBorder="1" applyAlignment="1">
      <alignment horizontal="center" vertical="center" wrapText="1"/>
    </xf>
    <xf numFmtId="165" fontId="22" fillId="0" borderId="2" xfId="0" applyNumberFormat="1" applyFont="1" applyBorder="1" applyAlignment="1">
      <alignment horizontal="center" vertical="center"/>
    </xf>
    <xf numFmtId="164" fontId="21" fillId="9" borderId="2" xfId="0" applyFont="1" applyFill="1" applyBorder="1" applyAlignment="1">
      <alignment horizontal="left" vertical="top" wrapText="1"/>
    </xf>
    <xf numFmtId="165" fontId="22" fillId="0" borderId="2" xfId="0" applyNumberFormat="1" applyFont="1" applyFill="1" applyBorder="1" applyAlignment="1">
      <alignment horizontal="left" vertical="top" wrapText="1"/>
    </xf>
    <xf numFmtId="165" fontId="22" fillId="0" borderId="2" xfId="0" applyNumberFormat="1" applyFont="1" applyFill="1" applyBorder="1" applyAlignment="1">
      <alignment horizontal="center" vertical="center" wrapText="1"/>
    </xf>
    <xf numFmtId="169" fontId="23" fillId="8" borderId="2" xfId="0" applyNumberFormat="1" applyFont="1" applyFill="1" applyBorder="1" applyAlignment="1">
      <alignment horizontal="center" vertical="top"/>
    </xf>
    <xf numFmtId="164" fontId="25" fillId="0" borderId="2" xfId="0" applyFont="1" applyBorder="1" applyAlignment="1">
      <alignment horizontal="left" vertical="top"/>
    </xf>
    <xf numFmtId="171" fontId="18" fillId="0" borderId="2" xfId="0" applyNumberFormat="1" applyFont="1" applyFill="1" applyBorder="1" applyAlignment="1">
      <alignment horizontal="center" vertical="center" wrapText="1"/>
    </xf>
    <xf numFmtId="165" fontId="23" fillId="0" borderId="2" xfId="0" applyNumberFormat="1" applyFont="1" applyFill="1" applyBorder="1" applyAlignment="1">
      <alignment horizontal="center" vertical="center"/>
    </xf>
    <xf numFmtId="171" fontId="21" fillId="0" borderId="2" xfId="0" applyNumberFormat="1" applyFont="1" applyFill="1" applyBorder="1" applyAlignment="1">
      <alignment horizontal="center" vertical="center" wrapText="1"/>
    </xf>
    <xf numFmtId="164" fontId="21" fillId="0" borderId="2" xfId="0" applyFont="1" applyBorder="1" applyAlignment="1">
      <alignment horizontal="left" vertical="top" wrapText="1"/>
    </xf>
    <xf numFmtId="164" fontId="22" fillId="0" borderId="2" xfId="0" applyFont="1" applyBorder="1" applyAlignment="1">
      <alignment horizontal="left" vertical="top" wrapText="1"/>
    </xf>
    <xf numFmtId="170" fontId="23" fillId="8" borderId="2" xfId="0" applyNumberFormat="1" applyFont="1" applyFill="1" applyBorder="1" applyAlignment="1">
      <alignment horizontal="center" vertical="center"/>
    </xf>
    <xf numFmtId="172" fontId="18" fillId="9" borderId="2" xfId="0" applyNumberFormat="1" applyFont="1" applyFill="1" applyBorder="1" applyAlignment="1">
      <alignment horizontal="center" vertical="center" wrapText="1"/>
    </xf>
    <xf numFmtId="172" fontId="22" fillId="8" borderId="2" xfId="0" applyNumberFormat="1" applyFont="1" applyFill="1" applyBorder="1" applyAlignment="1">
      <alignment horizontal="center" vertical="center"/>
    </xf>
    <xf numFmtId="169" fontId="22" fillId="0" borderId="2" xfId="0" applyNumberFormat="1" applyFont="1" applyBorder="1" applyAlignment="1">
      <alignment horizontal="center" vertical="center"/>
    </xf>
    <xf numFmtId="164" fontId="22" fillId="0" borderId="5" xfId="0" applyFont="1" applyFill="1" applyBorder="1" applyAlignment="1">
      <alignment horizontal="left" vertical="top" wrapText="1"/>
    </xf>
    <xf numFmtId="169" fontId="23" fillId="8" borderId="5" xfId="0" applyNumberFormat="1" applyFont="1" applyFill="1" applyBorder="1" applyAlignment="1">
      <alignment horizontal="center" vertical="center"/>
    </xf>
    <xf numFmtId="165" fontId="22" fillId="0" borderId="7" xfId="0" applyNumberFormat="1" applyFont="1" applyBorder="1" applyAlignment="1">
      <alignment horizontal="center" vertical="center"/>
    </xf>
    <xf numFmtId="169" fontId="18" fillId="0" borderId="2" xfId="0" applyNumberFormat="1" applyFont="1" applyFill="1" applyBorder="1" applyAlignment="1">
      <alignment horizontal="center" vertical="center"/>
    </xf>
    <xf numFmtId="164" fontId="22" fillId="9" borderId="5" xfId="0" applyNumberFormat="1" applyFont="1" applyFill="1" applyBorder="1" applyAlignment="1">
      <alignment horizontal="left" vertical="top" wrapText="1"/>
    </xf>
    <xf numFmtId="165" fontId="22" fillId="0" borderId="5" xfId="0" applyNumberFormat="1" applyFont="1" applyBorder="1" applyAlignment="1">
      <alignment horizontal="left" vertical="center"/>
    </xf>
    <xf numFmtId="164" fontId="21" fillId="9" borderId="2" xfId="0" applyNumberFormat="1" applyFont="1" applyFill="1" applyBorder="1" applyAlignment="1">
      <alignment horizontal="left" vertical="top" wrapText="1"/>
    </xf>
    <xf numFmtId="165" fontId="21" fillId="0" borderId="2" xfId="0" applyNumberFormat="1" applyFont="1" applyBorder="1" applyAlignment="1">
      <alignment horizontal="left" vertical="center"/>
    </xf>
    <xf numFmtId="171" fontId="18" fillId="8" borderId="2" xfId="0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left" vertical="top" wrapText="1"/>
    </xf>
    <xf numFmtId="170" fontId="18" fillId="0" borderId="2" xfId="0" applyNumberFormat="1" applyFont="1" applyFill="1" applyBorder="1" applyAlignment="1">
      <alignment horizontal="center" vertical="top" wrapText="1"/>
    </xf>
    <xf numFmtId="164" fontId="23" fillId="0" borderId="5" xfId="0" applyFont="1" applyBorder="1" applyAlignment="1">
      <alignment horizontal="left" vertical="top" wrapText="1"/>
    </xf>
    <xf numFmtId="165" fontId="23" fillId="0" borderId="7" xfId="0" applyNumberFormat="1" applyFont="1" applyBorder="1" applyAlignment="1">
      <alignment horizontal="center" vertical="center"/>
    </xf>
    <xf numFmtId="165" fontId="22" fillId="0" borderId="2" xfId="0" applyNumberFormat="1" applyFont="1" applyFill="1" applyBorder="1" applyAlignment="1">
      <alignment horizontal="left" vertical="center"/>
    </xf>
    <xf numFmtId="164" fontId="24" fillId="0" borderId="6" xfId="0" applyFont="1" applyFill="1" applyBorder="1" applyAlignment="1">
      <alignment horizontal="left" vertical="top" wrapText="1"/>
    </xf>
    <xf numFmtId="164" fontId="24" fillId="0" borderId="2" xfId="0" applyFont="1" applyFill="1" applyBorder="1" applyAlignment="1">
      <alignment horizontal="left" vertical="top" wrapText="1"/>
    </xf>
    <xf numFmtId="164" fontId="0" fillId="9" borderId="2" xfId="0" applyNumberFormat="1" applyFill="1" applyBorder="1" applyAlignment="1">
      <alignment horizontal="center" vertical="center"/>
    </xf>
    <xf numFmtId="165" fontId="22" fillId="0" borderId="2" xfId="0" applyNumberFormat="1" applyFont="1" applyFill="1" applyBorder="1" applyAlignment="1">
      <alignment horizontal="center" vertical="center"/>
    </xf>
    <xf numFmtId="164" fontId="0" fillId="9" borderId="2" xfId="0" applyFill="1" applyBorder="1" applyAlignment="1">
      <alignment/>
    </xf>
    <xf numFmtId="165" fontId="18" fillId="0" borderId="8" xfId="0" applyNumberFormat="1" applyFont="1" applyFill="1" applyBorder="1" applyAlignment="1" applyProtection="1">
      <alignment horizontal="left" vertical="top" wrapText="1"/>
      <protection/>
    </xf>
    <xf numFmtId="165" fontId="18" fillId="0" borderId="7" xfId="0" applyNumberFormat="1" applyFont="1" applyBorder="1" applyAlignment="1">
      <alignment horizontal="center" vertical="center"/>
    </xf>
    <xf numFmtId="169" fontId="21" fillId="0" borderId="2" xfId="0" applyNumberFormat="1" applyFont="1" applyBorder="1" applyAlignment="1">
      <alignment horizontal="center" vertical="center"/>
    </xf>
    <xf numFmtId="169" fontId="21" fillId="8" borderId="2" xfId="0" applyNumberFormat="1" applyFont="1" applyFill="1" applyBorder="1" applyAlignment="1">
      <alignment horizontal="center" vertical="center"/>
    </xf>
    <xf numFmtId="164" fontId="18" fillId="0" borderId="6" xfId="0" applyFont="1" applyBorder="1" applyAlignment="1">
      <alignment horizontal="left" vertical="top" wrapText="1"/>
    </xf>
    <xf numFmtId="164" fontId="21" fillId="9" borderId="2" xfId="69" applyFont="1" applyFill="1" applyBorder="1" applyAlignment="1">
      <alignment horizontal="left" vertical="top" wrapText="1"/>
      <protection/>
    </xf>
    <xf numFmtId="164" fontId="22" fillId="0" borderId="2" xfId="69" applyFont="1" applyFill="1" applyBorder="1" applyAlignment="1">
      <alignment horizontal="left" vertical="top" wrapText="1"/>
      <protection/>
    </xf>
    <xf numFmtId="169" fontId="23" fillId="0" borderId="2" xfId="0" applyNumberFormat="1" applyFont="1" applyFill="1" applyBorder="1" applyAlignment="1">
      <alignment horizontal="center" vertical="center"/>
    </xf>
    <xf numFmtId="164" fontId="21" fillId="9" borderId="2" xfId="69" applyFont="1" applyFill="1" applyBorder="1" applyAlignment="1">
      <alignment horizontal="center" vertical="center" wrapText="1"/>
      <protection/>
    </xf>
    <xf numFmtId="165" fontId="21" fillId="0" borderId="2" xfId="0" applyNumberFormat="1" applyFont="1" applyFill="1" applyBorder="1" applyAlignment="1">
      <alignment horizontal="left" vertical="center" wrapText="1"/>
    </xf>
    <xf numFmtId="164" fontId="0" fillId="0" borderId="9" xfId="0" applyBorder="1" applyAlignment="1">
      <alignment/>
    </xf>
    <xf numFmtId="164" fontId="23" fillId="0" borderId="2" xfId="0" applyFont="1" applyBorder="1" applyAlignment="1">
      <alignment horizontal="center" vertical="center" wrapText="1"/>
    </xf>
    <xf numFmtId="164" fontId="0" fillId="0" borderId="6" xfId="0" applyBorder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70" fontId="0" fillId="0" borderId="0" xfId="0" applyNumberFormat="1" applyFill="1" applyAlignment="1">
      <alignment/>
    </xf>
  </cellXfs>
  <cellStyles count="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1 3" xfId="22"/>
    <cellStyle name="Accent 2 1" xfId="23"/>
    <cellStyle name="Accent 2 2" xfId="24"/>
    <cellStyle name="Accent 2 3" xfId="25"/>
    <cellStyle name="Accent 3 1" xfId="26"/>
    <cellStyle name="Accent 3 2" xfId="27"/>
    <cellStyle name="Accent 3 3" xfId="28"/>
    <cellStyle name="Accent 4" xfId="29"/>
    <cellStyle name="Accent 5" xfId="30"/>
    <cellStyle name="Accent 6" xfId="31"/>
    <cellStyle name="Bad 1" xfId="32"/>
    <cellStyle name="Bad 2" xfId="33"/>
    <cellStyle name="Bad 3" xfId="34"/>
    <cellStyle name="Error 1" xfId="35"/>
    <cellStyle name="Error 2" xfId="36"/>
    <cellStyle name="Error 3" xfId="37"/>
    <cellStyle name="Footnote 1" xfId="38"/>
    <cellStyle name="Footnote 2" xfId="39"/>
    <cellStyle name="Footnote 3" xfId="40"/>
    <cellStyle name="Good 1" xfId="41"/>
    <cellStyle name="Good 2" xfId="42"/>
    <cellStyle name="Good 3" xfId="43"/>
    <cellStyle name="Heading 1 1" xfId="44"/>
    <cellStyle name="Heading 1 2" xfId="45"/>
    <cellStyle name="Heading 1 3" xfId="46"/>
    <cellStyle name="Heading 2 1" xfId="47"/>
    <cellStyle name="Heading 2 2" xfId="48"/>
    <cellStyle name="Heading 2 3" xfId="49"/>
    <cellStyle name="Heading 3" xfId="50"/>
    <cellStyle name="Heading 4" xfId="51"/>
    <cellStyle name="Heading 5" xfId="52"/>
    <cellStyle name="Neutral 1" xfId="53"/>
    <cellStyle name="Neutral 2" xfId="54"/>
    <cellStyle name="Neutral 3" xfId="55"/>
    <cellStyle name="Note 1" xfId="56"/>
    <cellStyle name="Note 2" xfId="57"/>
    <cellStyle name="Note 3" xfId="58"/>
    <cellStyle name="Status 1" xfId="59"/>
    <cellStyle name="Status 2" xfId="60"/>
    <cellStyle name="Status 3" xfId="61"/>
    <cellStyle name="Text 1" xfId="62"/>
    <cellStyle name="Text 2" xfId="63"/>
    <cellStyle name="Text 3" xfId="64"/>
    <cellStyle name="Warning 1" xfId="65"/>
    <cellStyle name="Warning 2" xfId="66"/>
    <cellStyle name="Warning 3" xfId="67"/>
    <cellStyle name="xl28" xfId="68"/>
    <cellStyle name="Обычный 2" xfId="69"/>
    <cellStyle name="Обычный 2 2" xfId="70"/>
    <cellStyle name="Обычный 3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7"/>
  <sheetViews>
    <sheetView tabSelected="1" workbookViewId="0" topLeftCell="A119">
      <selection activeCell="B123" sqref="B123"/>
    </sheetView>
  </sheetViews>
  <sheetFormatPr defaultColWidth="8.00390625" defaultRowHeight="15"/>
  <cols>
    <col min="1" max="1" width="7.00390625" style="0" customWidth="1"/>
    <col min="2" max="2" width="50.140625" style="0" customWidth="1"/>
    <col min="3" max="3" width="6.28125" style="1" customWidth="1"/>
    <col min="4" max="4" width="6.28125" style="0" customWidth="1"/>
    <col min="5" max="5" width="8.8515625" style="0" customWidth="1"/>
    <col min="6" max="6" width="15.140625" style="0" customWidth="1"/>
    <col min="7" max="7" width="8.00390625" style="0" customWidth="1"/>
    <col min="8" max="8" width="1.28515625" style="2" hidden="1" customWidth="1"/>
    <col min="9" max="9" width="15.57421875" style="2" hidden="1" customWidth="1"/>
    <col min="10" max="10" width="13.28125" style="3" hidden="1" customWidth="1"/>
    <col min="11" max="11" width="12.421875" style="2" hidden="1" customWidth="1"/>
    <col min="12" max="12" width="15.00390625" style="2" hidden="1" customWidth="1"/>
    <col min="13" max="13" width="17.7109375" style="4" hidden="1" customWidth="1"/>
    <col min="14" max="14" width="17.7109375" style="4" customWidth="1"/>
    <col min="15" max="15" width="17.7109375" style="5" hidden="1" customWidth="1"/>
    <col min="16" max="16" width="6.421875" style="6" customWidth="1"/>
    <col min="17" max="16384" width="8.57421875" style="0" customWidth="1"/>
  </cols>
  <sheetData>
    <row r="1" spans="6:7" ht="5.25" customHeight="1">
      <c r="F1" s="7" t="s">
        <v>0</v>
      </c>
      <c r="G1" s="7"/>
    </row>
    <row r="2" spans="6:7" ht="15.75" hidden="1">
      <c r="F2" s="7"/>
      <c r="G2" s="7"/>
    </row>
    <row r="3" spans="2:15" ht="15" customHeight="1">
      <c r="B3" s="8"/>
      <c r="C3" s="9"/>
      <c r="F3" s="7"/>
      <c r="G3" s="7"/>
      <c r="H3" s="10"/>
      <c r="I3" s="10"/>
      <c r="J3" s="10"/>
      <c r="K3" s="10"/>
      <c r="L3" s="10"/>
      <c r="M3" s="11"/>
      <c r="N3" s="11"/>
      <c r="O3" s="10"/>
    </row>
    <row r="4" spans="2:15" ht="54" customHeight="1">
      <c r="B4" s="12"/>
      <c r="C4" s="13"/>
      <c r="D4" s="12"/>
      <c r="E4" s="12"/>
      <c r="F4" s="7"/>
      <c r="G4" s="7"/>
      <c r="H4" s="10"/>
      <c r="I4" s="10"/>
      <c r="J4" s="10"/>
      <c r="K4" s="10"/>
      <c r="L4" s="10"/>
      <c r="M4" s="11"/>
      <c r="N4" s="11"/>
      <c r="O4" s="10"/>
    </row>
    <row r="5" spans="2:7" ht="18.75" customHeight="1">
      <c r="B5" s="14" t="s">
        <v>1</v>
      </c>
      <c r="C5" s="14"/>
      <c r="D5" s="14"/>
      <c r="E5" s="14"/>
      <c r="F5" s="14"/>
      <c r="G5" s="14"/>
    </row>
    <row r="6" spans="2:7" ht="15" customHeight="1">
      <c r="B6" s="14"/>
      <c r="C6" s="14"/>
      <c r="D6" s="14"/>
      <c r="E6" s="14"/>
      <c r="F6" s="14"/>
      <c r="G6" s="14"/>
    </row>
    <row r="7" spans="2:15" ht="6.75" customHeight="1">
      <c r="B7" s="15"/>
      <c r="C7" s="16"/>
      <c r="D7" s="15"/>
      <c r="E7" s="15"/>
      <c r="F7" s="15"/>
      <c r="G7" s="15"/>
      <c r="H7" s="15"/>
      <c r="I7" s="15"/>
      <c r="J7" s="17"/>
      <c r="K7" s="15"/>
      <c r="L7" s="15"/>
      <c r="M7" s="18"/>
      <c r="N7" s="18"/>
      <c r="O7" s="19"/>
    </row>
    <row r="8" spans="1:15" ht="123" customHeight="1">
      <c r="A8" s="20" t="s">
        <v>2</v>
      </c>
      <c r="B8" s="21" t="s">
        <v>3</v>
      </c>
      <c r="C8" s="22" t="s">
        <v>4</v>
      </c>
      <c r="D8" s="23" t="s">
        <v>5</v>
      </c>
      <c r="E8" s="23" t="s">
        <v>6</v>
      </c>
      <c r="F8" s="24" t="s">
        <v>7</v>
      </c>
      <c r="G8" s="25" t="s">
        <v>8</v>
      </c>
      <c r="H8" s="26" t="s">
        <v>9</v>
      </c>
      <c r="I8" s="26" t="s">
        <v>10</v>
      </c>
      <c r="J8" s="27" t="s">
        <v>11</v>
      </c>
      <c r="K8" s="26">
        <v>2019</v>
      </c>
      <c r="L8" s="27" t="s">
        <v>12</v>
      </c>
      <c r="M8" s="28" t="s">
        <v>13</v>
      </c>
      <c r="N8" s="28" t="s">
        <v>14</v>
      </c>
      <c r="O8" s="29" t="s">
        <v>15</v>
      </c>
    </row>
    <row r="9" spans="1:15" ht="17.25" customHeight="1">
      <c r="A9" s="20"/>
      <c r="B9" s="21"/>
      <c r="C9" s="21"/>
      <c r="D9" s="23"/>
      <c r="E9" s="23"/>
      <c r="F9" s="24"/>
      <c r="G9" s="25"/>
      <c r="H9" s="26"/>
      <c r="I9" s="26"/>
      <c r="J9" s="27"/>
      <c r="K9" s="26"/>
      <c r="L9" s="27"/>
      <c r="M9" s="28"/>
      <c r="N9" s="28"/>
      <c r="O9" s="29"/>
    </row>
    <row r="10" spans="1:15" ht="35.25" customHeight="1">
      <c r="A10" s="30">
        <v>703</v>
      </c>
      <c r="B10" s="31" t="s">
        <v>16</v>
      </c>
      <c r="C10" s="21">
        <v>703</v>
      </c>
      <c r="D10" s="32"/>
      <c r="E10" s="32"/>
      <c r="F10" s="33"/>
      <c r="G10" s="32"/>
      <c r="H10" s="34">
        <f>H11+H55+H61+H73+H120+H184+H189+H214+H243</f>
        <v>69274.8</v>
      </c>
      <c r="I10" s="34">
        <f>I11+I55+I61+I73+I120+I184+I189+I214+I243</f>
        <v>79980.20000000001</v>
      </c>
      <c r="J10" s="35">
        <f>J11+J55+J61+J73+J120+J184+J189+J214+J243</f>
        <v>162964.29811000003</v>
      </c>
      <c r="K10" s="36">
        <f>J10-I10</f>
        <v>82984.09811000002</v>
      </c>
      <c r="L10" s="35">
        <f>L11+L55+L61+L73+L120+L184+L189+L214+L243</f>
        <v>172801.29811</v>
      </c>
      <c r="M10" s="37">
        <f>M11+M55+M61+M73+M120+M184+M189+M214+M243</f>
        <v>163956.10362</v>
      </c>
      <c r="N10" s="37">
        <f>N11+N55+N61+N73+N120+N184+N189+N214+N243</f>
        <v>157421.77320999996</v>
      </c>
      <c r="O10" s="38">
        <f aca="true" t="shared" si="0" ref="O10:O205">M10-L10</f>
        <v>-8845.194489999994</v>
      </c>
    </row>
    <row r="11" spans="1:15" ht="21" customHeight="1">
      <c r="A11" s="39"/>
      <c r="B11" s="40" t="s">
        <v>17</v>
      </c>
      <c r="C11" s="21">
        <v>703</v>
      </c>
      <c r="D11" s="30" t="s">
        <v>18</v>
      </c>
      <c r="E11" s="41"/>
      <c r="F11" s="42"/>
      <c r="G11" s="41"/>
      <c r="H11" s="34">
        <f>H12+H17+H27+H31</f>
        <v>18390</v>
      </c>
      <c r="I11" s="34">
        <f>I12+I17+I27+I31</f>
        <v>18505.5</v>
      </c>
      <c r="J11" s="35">
        <f>J12+J17+J27+J31</f>
        <v>21281.988</v>
      </c>
      <c r="K11" s="36">
        <f>J11-I11+2</f>
        <v>2778.488000000001</v>
      </c>
      <c r="L11" s="35">
        <f>L12+L17+L27+L31</f>
        <v>22596.988</v>
      </c>
      <c r="M11" s="37">
        <f>M12+M17+M27+M31</f>
        <v>19963.20133</v>
      </c>
      <c r="N11" s="37">
        <f>N12+N17+N27+N31</f>
        <v>19337.243919999997</v>
      </c>
      <c r="O11" s="38">
        <f t="shared" si="0"/>
        <v>-2633.7866700000013</v>
      </c>
    </row>
    <row r="12" spans="1:15" ht="16.5">
      <c r="A12" s="39"/>
      <c r="B12" s="31" t="s">
        <v>19</v>
      </c>
      <c r="C12" s="21">
        <v>703</v>
      </c>
      <c r="D12" s="30" t="s">
        <v>18</v>
      </c>
      <c r="E12" s="30" t="s">
        <v>20</v>
      </c>
      <c r="F12" s="43"/>
      <c r="G12" s="30"/>
      <c r="H12" s="34">
        <f aca="true" t="shared" si="1" ref="H12:H13">H13</f>
        <v>281.7</v>
      </c>
      <c r="I12" s="34">
        <f aca="true" t="shared" si="2" ref="I12:I13">I13</f>
        <v>281.7</v>
      </c>
      <c r="J12" s="44">
        <f aca="true" t="shared" si="3" ref="J12:J13">J13</f>
        <v>329</v>
      </c>
      <c r="K12" s="45">
        <f aca="true" t="shared" si="4" ref="K12:K47">J12-I12</f>
        <v>47.30000000000001</v>
      </c>
      <c r="L12" s="44">
        <f aca="true" t="shared" si="5" ref="L12:L13">L13</f>
        <v>329</v>
      </c>
      <c r="M12" s="37">
        <f aca="true" t="shared" si="6" ref="M12:M13">M13</f>
        <v>286.60043</v>
      </c>
      <c r="N12" s="37">
        <f aca="true" t="shared" si="7" ref="N12:N13">N13</f>
        <v>286.6</v>
      </c>
      <c r="O12" s="38">
        <f t="shared" si="0"/>
        <v>-42.39956999999998</v>
      </c>
    </row>
    <row r="13" spans="1:15" ht="16.5">
      <c r="A13" s="39"/>
      <c r="B13" s="46" t="s">
        <v>21</v>
      </c>
      <c r="C13" s="21">
        <v>703</v>
      </c>
      <c r="D13" s="47" t="s">
        <v>18</v>
      </c>
      <c r="E13" s="47" t="s">
        <v>20</v>
      </c>
      <c r="F13" s="48" t="s">
        <v>22</v>
      </c>
      <c r="G13" s="47"/>
      <c r="H13" s="49">
        <f t="shared" si="1"/>
        <v>281.7</v>
      </c>
      <c r="I13" s="49">
        <f t="shared" si="2"/>
        <v>281.7</v>
      </c>
      <c r="J13" s="50">
        <f t="shared" si="3"/>
        <v>329</v>
      </c>
      <c r="K13" s="45">
        <f t="shared" si="4"/>
        <v>47.30000000000001</v>
      </c>
      <c r="L13" s="50">
        <f t="shared" si="5"/>
        <v>329</v>
      </c>
      <c r="M13" s="51">
        <f t="shared" si="6"/>
        <v>286.60043</v>
      </c>
      <c r="N13" s="51">
        <f t="shared" si="7"/>
        <v>286.6</v>
      </c>
      <c r="O13" s="38">
        <f t="shared" si="0"/>
        <v>-42.39956999999998</v>
      </c>
    </row>
    <row r="14" spans="1:15" ht="16.5">
      <c r="A14" s="39"/>
      <c r="B14" s="46" t="s">
        <v>23</v>
      </c>
      <c r="C14" s="21">
        <v>703</v>
      </c>
      <c r="D14" s="47" t="s">
        <v>18</v>
      </c>
      <c r="E14" s="47" t="s">
        <v>20</v>
      </c>
      <c r="F14" s="48" t="s">
        <v>24</v>
      </c>
      <c r="G14" s="47"/>
      <c r="H14" s="49">
        <f>H15+H16</f>
        <v>281.7</v>
      </c>
      <c r="I14" s="49">
        <f>I15+I16</f>
        <v>281.7</v>
      </c>
      <c r="J14" s="50">
        <f>J15+J16</f>
        <v>329</v>
      </c>
      <c r="K14" s="45">
        <f t="shared" si="4"/>
        <v>47.30000000000001</v>
      </c>
      <c r="L14" s="50">
        <f>L15+L16</f>
        <v>329</v>
      </c>
      <c r="M14" s="51">
        <f>M15+M16</f>
        <v>286.60043</v>
      </c>
      <c r="N14" s="51">
        <f>N15+N16</f>
        <v>286.6</v>
      </c>
      <c r="O14" s="38">
        <f t="shared" si="0"/>
        <v>-42.39956999999998</v>
      </c>
    </row>
    <row r="15" spans="1:15" ht="87" customHeight="1">
      <c r="A15" s="39"/>
      <c r="B15" s="52" t="s">
        <v>25</v>
      </c>
      <c r="C15" s="21">
        <v>703</v>
      </c>
      <c r="D15" s="47" t="s">
        <v>18</v>
      </c>
      <c r="E15" s="47" t="s">
        <v>20</v>
      </c>
      <c r="F15" s="48" t="s">
        <v>26</v>
      </c>
      <c r="G15" s="47" t="s">
        <v>27</v>
      </c>
      <c r="H15" s="49">
        <v>250.7</v>
      </c>
      <c r="I15" s="49">
        <v>250.7</v>
      </c>
      <c r="J15" s="50">
        <f>250.7+17.3</f>
        <v>268</v>
      </c>
      <c r="K15" s="45">
        <f t="shared" si="4"/>
        <v>17.30000000000001</v>
      </c>
      <c r="L15" s="50">
        <f>250.7+17.3</f>
        <v>268</v>
      </c>
      <c r="M15" s="51">
        <f>250.7+17.3+1.80262+0.54439+1.74692</f>
        <v>272.09393</v>
      </c>
      <c r="N15" s="51">
        <v>272.1</v>
      </c>
      <c r="O15" s="38">
        <f t="shared" si="0"/>
        <v>4.09393</v>
      </c>
    </row>
    <row r="16" spans="1:15" ht="16.5">
      <c r="A16" s="39"/>
      <c r="B16" s="53" t="s">
        <v>28</v>
      </c>
      <c r="C16" s="21">
        <v>703</v>
      </c>
      <c r="D16" s="47" t="s">
        <v>18</v>
      </c>
      <c r="E16" s="47" t="s">
        <v>20</v>
      </c>
      <c r="F16" s="48" t="s">
        <v>29</v>
      </c>
      <c r="G16" s="47" t="s">
        <v>30</v>
      </c>
      <c r="H16" s="49">
        <v>31</v>
      </c>
      <c r="I16" s="49">
        <v>31</v>
      </c>
      <c r="J16" s="50">
        <f>31+30</f>
        <v>61</v>
      </c>
      <c r="K16" s="45">
        <f t="shared" si="4"/>
        <v>30</v>
      </c>
      <c r="L16" s="50">
        <f>31+30</f>
        <v>61</v>
      </c>
      <c r="M16" s="51">
        <f>31+30-1.74692-34.74658-10</f>
        <v>14.506499999999996</v>
      </c>
      <c r="N16" s="51">
        <v>14.5</v>
      </c>
      <c r="O16" s="38">
        <f t="shared" si="0"/>
        <v>-46.493500000000004</v>
      </c>
    </row>
    <row r="17" spans="1:15" ht="62.25" customHeight="1">
      <c r="A17" s="39"/>
      <c r="B17" s="54" t="s">
        <v>31</v>
      </c>
      <c r="C17" s="21">
        <v>703</v>
      </c>
      <c r="D17" s="30" t="s">
        <v>18</v>
      </c>
      <c r="E17" s="30" t="s">
        <v>32</v>
      </c>
      <c r="F17" s="48"/>
      <c r="G17" s="32"/>
      <c r="H17" s="34">
        <f>H18+H24</f>
        <v>2902</v>
      </c>
      <c r="I17" s="34">
        <f>I18+I24</f>
        <v>2902</v>
      </c>
      <c r="J17" s="55">
        <f>J18+J24</f>
        <v>2888.719</v>
      </c>
      <c r="K17" s="45">
        <f t="shared" si="4"/>
        <v>-13.280999999999949</v>
      </c>
      <c r="L17" s="55">
        <f>L18+L24</f>
        <v>2888.719</v>
      </c>
      <c r="M17" s="37">
        <f>M18+M24</f>
        <v>2482.68418</v>
      </c>
      <c r="N17" s="37">
        <f>N18+N24</f>
        <v>2412.7</v>
      </c>
      <c r="O17" s="38">
        <f t="shared" si="0"/>
        <v>-406.03481999999985</v>
      </c>
    </row>
    <row r="18" spans="1:15" ht="16.5">
      <c r="A18" s="39"/>
      <c r="B18" s="56" t="s">
        <v>33</v>
      </c>
      <c r="C18" s="21">
        <v>703</v>
      </c>
      <c r="D18" s="47" t="s">
        <v>18</v>
      </c>
      <c r="E18" s="47" t="s">
        <v>32</v>
      </c>
      <c r="F18" s="48" t="s">
        <v>34</v>
      </c>
      <c r="G18" s="47"/>
      <c r="H18" s="49">
        <f>H19</f>
        <v>2892</v>
      </c>
      <c r="I18" s="49">
        <f>I19</f>
        <v>2892</v>
      </c>
      <c r="J18" s="57">
        <f>J19</f>
        <v>2888.719</v>
      </c>
      <c r="K18" s="45">
        <f t="shared" si="4"/>
        <v>-3.280999999999949</v>
      </c>
      <c r="L18" s="57">
        <f>L19</f>
        <v>2888.719</v>
      </c>
      <c r="M18" s="51">
        <f>M19</f>
        <v>2482.68418</v>
      </c>
      <c r="N18" s="51">
        <f>N19</f>
        <v>2412.7</v>
      </c>
      <c r="O18" s="38">
        <f t="shared" si="0"/>
        <v>-406.03481999999985</v>
      </c>
    </row>
    <row r="19" spans="1:15" ht="16.5">
      <c r="A19" s="39"/>
      <c r="B19" s="58" t="s">
        <v>23</v>
      </c>
      <c r="C19" s="21">
        <v>703</v>
      </c>
      <c r="D19" s="59" t="s">
        <v>18</v>
      </c>
      <c r="E19" s="59" t="s">
        <v>32</v>
      </c>
      <c r="F19" s="60" t="s">
        <v>35</v>
      </c>
      <c r="G19" s="59"/>
      <c r="H19" s="61">
        <f>H20+H21+H22</f>
        <v>2892</v>
      </c>
      <c r="I19" s="61">
        <f>I20+I21+I22</f>
        <v>2892</v>
      </c>
      <c r="J19" s="62">
        <f>J20+J21+J22+J23</f>
        <v>2888.719</v>
      </c>
      <c r="K19" s="45">
        <f t="shared" si="4"/>
        <v>-3.280999999999949</v>
      </c>
      <c r="L19" s="62">
        <f>L20+L21+L22+L23</f>
        <v>2888.719</v>
      </c>
      <c r="M19" s="63">
        <f>M20+M21+M22+M23</f>
        <v>2482.68418</v>
      </c>
      <c r="N19" s="63">
        <f>N20+N21+N22+N23</f>
        <v>2412.7</v>
      </c>
      <c r="O19" s="38">
        <f t="shared" si="0"/>
        <v>-406.03481999999985</v>
      </c>
    </row>
    <row r="20" spans="1:15" ht="89.25" customHeight="1">
      <c r="A20" s="39"/>
      <c r="B20" s="64" t="s">
        <v>36</v>
      </c>
      <c r="C20" s="21">
        <v>703</v>
      </c>
      <c r="D20" s="59" t="s">
        <v>18</v>
      </c>
      <c r="E20" s="59" t="s">
        <v>32</v>
      </c>
      <c r="F20" s="60" t="s">
        <v>37</v>
      </c>
      <c r="G20" s="59" t="s">
        <v>27</v>
      </c>
      <c r="H20" s="65">
        <v>1003.1</v>
      </c>
      <c r="I20" s="65">
        <v>1003.1</v>
      </c>
      <c r="J20" s="66">
        <v>1003.1</v>
      </c>
      <c r="K20" s="45">
        <f t="shared" si="4"/>
        <v>0</v>
      </c>
      <c r="L20" s="66">
        <v>1003.1</v>
      </c>
      <c r="M20" s="63">
        <f>1003.1+14.93688+4.51094</f>
        <v>1022.54782</v>
      </c>
      <c r="N20" s="63">
        <v>1019.6</v>
      </c>
      <c r="O20" s="38">
        <f t="shared" si="0"/>
        <v>19.44781999999998</v>
      </c>
    </row>
    <row r="21" spans="1:15" ht="89.25" customHeight="1">
      <c r="A21" s="39"/>
      <c r="B21" s="52" t="s">
        <v>38</v>
      </c>
      <c r="C21" s="21">
        <v>703</v>
      </c>
      <c r="D21" s="67" t="s">
        <v>18</v>
      </c>
      <c r="E21" s="67" t="s">
        <v>32</v>
      </c>
      <c r="F21" s="68" t="s">
        <v>26</v>
      </c>
      <c r="G21" s="59" t="s">
        <v>27</v>
      </c>
      <c r="H21" s="65">
        <v>1862.9</v>
      </c>
      <c r="I21" s="65">
        <v>1862.9</v>
      </c>
      <c r="J21" s="66">
        <v>1862.9</v>
      </c>
      <c r="K21" s="45">
        <f t="shared" si="4"/>
        <v>0</v>
      </c>
      <c r="L21" s="66">
        <v>1862.9</v>
      </c>
      <c r="M21" s="63">
        <f>1862.9+8.07785+2.43951-336-100</f>
        <v>1437.41736</v>
      </c>
      <c r="N21" s="63">
        <v>1370.4</v>
      </c>
      <c r="O21" s="38">
        <f t="shared" si="0"/>
        <v>-425.4826400000002</v>
      </c>
    </row>
    <row r="22" spans="1:15" ht="16.5">
      <c r="A22" s="39"/>
      <c r="B22" s="52" t="s">
        <v>39</v>
      </c>
      <c r="C22" s="21">
        <v>703</v>
      </c>
      <c r="D22" s="69" t="s">
        <v>18</v>
      </c>
      <c r="E22" s="69" t="s">
        <v>32</v>
      </c>
      <c r="F22" s="70" t="s">
        <v>29</v>
      </c>
      <c r="G22" s="69" t="s">
        <v>30</v>
      </c>
      <c r="H22" s="71">
        <v>26</v>
      </c>
      <c r="I22" s="71">
        <v>26</v>
      </c>
      <c r="J22" s="72">
        <f>26-3.281</f>
        <v>22.719</v>
      </c>
      <c r="K22" s="45">
        <f t="shared" si="4"/>
        <v>-3.280999999999999</v>
      </c>
      <c r="L22" s="72">
        <f>26-3.281</f>
        <v>22.719</v>
      </c>
      <c r="M22" s="73">
        <f>26-3.281</f>
        <v>22.719</v>
      </c>
      <c r="N22" s="73">
        <v>22.7</v>
      </c>
      <c r="O22" s="38">
        <f t="shared" si="0"/>
        <v>0</v>
      </c>
    </row>
    <row r="23" spans="1:15" ht="16.5" hidden="1">
      <c r="A23" s="39"/>
      <c r="B23" s="52" t="s">
        <v>40</v>
      </c>
      <c r="C23" s="21">
        <v>703</v>
      </c>
      <c r="D23" s="69" t="s">
        <v>18</v>
      </c>
      <c r="E23" s="69" t="s">
        <v>32</v>
      </c>
      <c r="F23" s="70" t="s">
        <v>29</v>
      </c>
      <c r="G23" s="69" t="s">
        <v>41</v>
      </c>
      <c r="H23" s="71">
        <v>0</v>
      </c>
      <c r="I23" s="71">
        <v>0</v>
      </c>
      <c r="J23" s="72">
        <f>13.281-13.281</f>
        <v>0</v>
      </c>
      <c r="K23" s="45">
        <f t="shared" si="4"/>
        <v>0</v>
      </c>
      <c r="L23" s="72">
        <f>13.281-13.281</f>
        <v>0</v>
      </c>
      <c r="M23" s="73">
        <f>13.281-13.281</f>
        <v>0</v>
      </c>
      <c r="N23" s="73">
        <f>13.281-13.281</f>
        <v>0</v>
      </c>
      <c r="O23" s="38">
        <f t="shared" si="0"/>
        <v>0</v>
      </c>
    </row>
    <row r="24" spans="1:15" ht="50.25" customHeight="1" hidden="1">
      <c r="A24" s="39"/>
      <c r="B24" s="74" t="s">
        <v>42</v>
      </c>
      <c r="C24" s="21">
        <v>703</v>
      </c>
      <c r="D24" s="69" t="s">
        <v>18</v>
      </c>
      <c r="E24" s="69" t="s">
        <v>32</v>
      </c>
      <c r="F24" s="60" t="s">
        <v>18</v>
      </c>
      <c r="G24" s="59"/>
      <c r="H24" s="65">
        <f aca="true" t="shared" si="8" ref="H24:H25">H25</f>
        <v>10</v>
      </c>
      <c r="I24" s="65">
        <f aca="true" t="shared" si="9" ref="I24:I25">I25</f>
        <v>10</v>
      </c>
      <c r="J24" s="66">
        <f aca="true" t="shared" si="10" ref="J24:J25">J25</f>
        <v>0</v>
      </c>
      <c r="K24" s="45">
        <f t="shared" si="4"/>
        <v>-10</v>
      </c>
      <c r="L24" s="66">
        <f aca="true" t="shared" si="11" ref="L24:L25">L25</f>
        <v>0</v>
      </c>
      <c r="M24" s="63">
        <f aca="true" t="shared" si="12" ref="M24:M25">M25</f>
        <v>0</v>
      </c>
      <c r="N24" s="63">
        <f aca="true" t="shared" si="13" ref="N24:N25">N25</f>
        <v>0</v>
      </c>
      <c r="O24" s="38">
        <f t="shared" si="0"/>
        <v>0</v>
      </c>
    </row>
    <row r="25" spans="1:15" ht="16.5" hidden="1">
      <c r="A25" s="39"/>
      <c r="B25" s="52" t="s">
        <v>43</v>
      </c>
      <c r="C25" s="21">
        <v>703</v>
      </c>
      <c r="D25" s="69" t="s">
        <v>18</v>
      </c>
      <c r="E25" s="69" t="s">
        <v>32</v>
      </c>
      <c r="F25" s="60" t="s">
        <v>44</v>
      </c>
      <c r="G25" s="59"/>
      <c r="H25" s="65">
        <f t="shared" si="8"/>
        <v>10</v>
      </c>
      <c r="I25" s="65">
        <f t="shared" si="9"/>
        <v>10</v>
      </c>
      <c r="J25" s="66">
        <f t="shared" si="10"/>
        <v>0</v>
      </c>
      <c r="K25" s="45">
        <f t="shared" si="4"/>
        <v>-10</v>
      </c>
      <c r="L25" s="66">
        <f t="shared" si="11"/>
        <v>0</v>
      </c>
      <c r="M25" s="63">
        <f t="shared" si="12"/>
        <v>0</v>
      </c>
      <c r="N25" s="63">
        <f t="shared" si="13"/>
        <v>0</v>
      </c>
      <c r="O25" s="38">
        <f t="shared" si="0"/>
        <v>0</v>
      </c>
    </row>
    <row r="26" spans="1:15" ht="39" customHeight="1" hidden="1">
      <c r="A26" s="39"/>
      <c r="B26" s="52" t="s">
        <v>45</v>
      </c>
      <c r="C26" s="21">
        <v>703</v>
      </c>
      <c r="D26" s="69" t="s">
        <v>18</v>
      </c>
      <c r="E26" s="69" t="s">
        <v>32</v>
      </c>
      <c r="F26" s="60" t="s">
        <v>46</v>
      </c>
      <c r="G26" s="59" t="s">
        <v>30</v>
      </c>
      <c r="H26" s="65">
        <v>10</v>
      </c>
      <c r="I26" s="65">
        <v>10</v>
      </c>
      <c r="J26" s="66">
        <f>10-10</f>
        <v>0</v>
      </c>
      <c r="K26" s="45">
        <f t="shared" si="4"/>
        <v>-10</v>
      </c>
      <c r="L26" s="66">
        <f>10-10</f>
        <v>0</v>
      </c>
      <c r="M26" s="63">
        <f>10-10</f>
        <v>0</v>
      </c>
      <c r="N26" s="63">
        <f>10-10</f>
        <v>0</v>
      </c>
      <c r="O26" s="38">
        <f t="shared" si="0"/>
        <v>0</v>
      </c>
    </row>
    <row r="27" spans="1:15" ht="15" customHeight="1" hidden="1">
      <c r="A27" s="39"/>
      <c r="B27" s="75" t="s">
        <v>47</v>
      </c>
      <c r="C27" s="21">
        <v>703</v>
      </c>
      <c r="D27" s="76" t="s">
        <v>18</v>
      </c>
      <c r="E27" s="76" t="s">
        <v>48</v>
      </c>
      <c r="F27" s="77"/>
      <c r="G27" s="76"/>
      <c r="H27" s="78">
        <f aca="true" t="shared" si="14" ref="H27:H29">H28</f>
        <v>20</v>
      </c>
      <c r="I27" s="78">
        <f aca="true" t="shared" si="15" ref="I27:I29">I28</f>
        <v>20</v>
      </c>
      <c r="J27" s="79">
        <f aca="true" t="shared" si="16" ref="J27:J29">J28</f>
        <v>20</v>
      </c>
      <c r="K27" s="45">
        <f t="shared" si="4"/>
        <v>0</v>
      </c>
      <c r="L27" s="79">
        <f aca="true" t="shared" si="17" ref="L27:L29">L28</f>
        <v>20</v>
      </c>
      <c r="M27" s="80">
        <f aca="true" t="shared" si="18" ref="M27:M29">M28</f>
        <v>0</v>
      </c>
      <c r="N27" s="80">
        <f aca="true" t="shared" si="19" ref="N27:N29">N28</f>
        <v>0</v>
      </c>
      <c r="O27" s="81">
        <f t="shared" si="0"/>
        <v>-20</v>
      </c>
    </row>
    <row r="28" spans="1:15" ht="15" customHeight="1" hidden="1">
      <c r="A28" s="39"/>
      <c r="B28" s="74" t="s">
        <v>21</v>
      </c>
      <c r="C28" s="21">
        <v>703</v>
      </c>
      <c r="D28" s="59" t="s">
        <v>18</v>
      </c>
      <c r="E28" s="59" t="s">
        <v>48</v>
      </c>
      <c r="F28" s="60" t="s">
        <v>34</v>
      </c>
      <c r="G28" s="59"/>
      <c r="H28" s="61">
        <f t="shared" si="14"/>
        <v>20</v>
      </c>
      <c r="I28" s="61">
        <f t="shared" si="15"/>
        <v>20</v>
      </c>
      <c r="J28" s="66">
        <f t="shared" si="16"/>
        <v>20</v>
      </c>
      <c r="K28" s="45">
        <f t="shared" si="4"/>
        <v>0</v>
      </c>
      <c r="L28" s="66">
        <f t="shared" si="17"/>
        <v>20</v>
      </c>
      <c r="M28" s="63">
        <f t="shared" si="18"/>
        <v>0</v>
      </c>
      <c r="N28" s="63">
        <f t="shared" si="19"/>
        <v>0</v>
      </c>
      <c r="O28" s="81">
        <f t="shared" si="0"/>
        <v>-20</v>
      </c>
    </row>
    <row r="29" spans="1:15" ht="20.25" customHeight="1" hidden="1">
      <c r="A29" s="39"/>
      <c r="B29" s="74" t="s">
        <v>49</v>
      </c>
      <c r="C29" s="21">
        <v>703</v>
      </c>
      <c r="D29" s="59" t="s">
        <v>18</v>
      </c>
      <c r="E29" s="59" t="s">
        <v>48</v>
      </c>
      <c r="F29" s="60" t="s">
        <v>35</v>
      </c>
      <c r="G29" s="59"/>
      <c r="H29" s="61">
        <f t="shared" si="14"/>
        <v>20</v>
      </c>
      <c r="I29" s="61">
        <f t="shared" si="15"/>
        <v>20</v>
      </c>
      <c r="J29" s="66">
        <f t="shared" si="16"/>
        <v>20</v>
      </c>
      <c r="K29" s="45">
        <f t="shared" si="4"/>
        <v>0</v>
      </c>
      <c r="L29" s="66">
        <f t="shared" si="17"/>
        <v>20</v>
      </c>
      <c r="M29" s="63">
        <f t="shared" si="18"/>
        <v>0</v>
      </c>
      <c r="N29" s="63">
        <f t="shared" si="19"/>
        <v>0</v>
      </c>
      <c r="O29" s="81">
        <f t="shared" si="0"/>
        <v>-20</v>
      </c>
    </row>
    <row r="30" spans="1:15" ht="46.5" customHeight="1" hidden="1">
      <c r="A30" s="39"/>
      <c r="B30" s="74" t="s">
        <v>50</v>
      </c>
      <c r="C30" s="21">
        <v>703</v>
      </c>
      <c r="D30" s="59" t="s">
        <v>18</v>
      </c>
      <c r="E30" s="59" t="s">
        <v>48</v>
      </c>
      <c r="F30" s="60" t="s">
        <v>51</v>
      </c>
      <c r="G30" s="59" t="s">
        <v>41</v>
      </c>
      <c r="H30" s="82">
        <v>20</v>
      </c>
      <c r="I30" s="82">
        <v>20</v>
      </c>
      <c r="J30" s="83">
        <v>20</v>
      </c>
      <c r="K30" s="45">
        <f t="shared" si="4"/>
        <v>0</v>
      </c>
      <c r="L30" s="83">
        <v>20</v>
      </c>
      <c r="M30" s="84">
        <f>20-20</f>
        <v>0</v>
      </c>
      <c r="N30" s="84">
        <f>20-20</f>
        <v>0</v>
      </c>
      <c r="O30" s="85">
        <f t="shared" si="0"/>
        <v>-20</v>
      </c>
    </row>
    <row r="31" spans="1:15" ht="16.5">
      <c r="A31" s="39"/>
      <c r="B31" s="40" t="s">
        <v>52</v>
      </c>
      <c r="C31" s="21">
        <v>703</v>
      </c>
      <c r="D31" s="76" t="s">
        <v>18</v>
      </c>
      <c r="E31" s="76" t="s">
        <v>53</v>
      </c>
      <c r="F31" s="77"/>
      <c r="G31" s="76"/>
      <c r="H31" s="86">
        <f>H32+H45+H37</f>
        <v>15186.300000000001</v>
      </c>
      <c r="I31" s="86">
        <f>I32+I45+I37</f>
        <v>15301.800000000001</v>
      </c>
      <c r="J31" s="87">
        <f>J32+J45+J37+J52</f>
        <v>18044.269</v>
      </c>
      <c r="K31" s="36">
        <f t="shared" si="4"/>
        <v>2742.468999999999</v>
      </c>
      <c r="L31" s="87">
        <f>L32+L45+L37+L52</f>
        <v>19359.269</v>
      </c>
      <c r="M31" s="80">
        <f>M32+M45+M37+M52</f>
        <v>17193.91672</v>
      </c>
      <c r="N31" s="88">
        <f>N32+N45+N37+N52</f>
        <v>16637.943919999998</v>
      </c>
      <c r="O31" s="38">
        <f t="shared" si="0"/>
        <v>-2165.352279999999</v>
      </c>
    </row>
    <row r="32" spans="1:15" ht="46.5" customHeight="1">
      <c r="A32" s="39"/>
      <c r="B32" s="74" t="s">
        <v>54</v>
      </c>
      <c r="C32" s="21">
        <v>703</v>
      </c>
      <c r="D32" s="59" t="s">
        <v>18</v>
      </c>
      <c r="E32" s="59" t="s">
        <v>53</v>
      </c>
      <c r="F32" s="60" t="s">
        <v>18</v>
      </c>
      <c r="G32" s="59"/>
      <c r="H32" s="61">
        <f>H33+H35</f>
        <v>220</v>
      </c>
      <c r="I32" s="61">
        <f>I33+I35</f>
        <v>220</v>
      </c>
      <c r="J32" s="66">
        <f>J33+J35</f>
        <v>220</v>
      </c>
      <c r="K32" s="45">
        <f t="shared" si="4"/>
        <v>0</v>
      </c>
      <c r="L32" s="66">
        <f>L33+L35</f>
        <v>220</v>
      </c>
      <c r="M32" s="63">
        <f>M33+M35</f>
        <v>310</v>
      </c>
      <c r="N32" s="63">
        <f>N33+N35</f>
        <v>310</v>
      </c>
      <c r="O32" s="81">
        <f t="shared" si="0"/>
        <v>90</v>
      </c>
    </row>
    <row r="33" spans="1:15" ht="45.75" customHeight="1">
      <c r="A33" s="39"/>
      <c r="B33" s="52" t="s">
        <v>43</v>
      </c>
      <c r="C33" s="21">
        <v>703</v>
      </c>
      <c r="D33" s="59" t="s">
        <v>18</v>
      </c>
      <c r="E33" s="59" t="s">
        <v>53</v>
      </c>
      <c r="F33" s="60" t="s">
        <v>44</v>
      </c>
      <c r="G33" s="59"/>
      <c r="H33" s="65">
        <f>H34</f>
        <v>20</v>
      </c>
      <c r="I33" s="65">
        <f>I34</f>
        <v>20</v>
      </c>
      <c r="J33" s="66">
        <f>J34</f>
        <v>20</v>
      </c>
      <c r="K33" s="45">
        <f t="shared" si="4"/>
        <v>0</v>
      </c>
      <c r="L33" s="66">
        <f>L34</f>
        <v>20</v>
      </c>
      <c r="M33" s="63">
        <f>M34</f>
        <v>4.9</v>
      </c>
      <c r="N33" s="63">
        <f>N34</f>
        <v>4.9</v>
      </c>
      <c r="O33" s="81">
        <f t="shared" si="0"/>
        <v>-15.1</v>
      </c>
    </row>
    <row r="34" spans="1:15" ht="38.25" customHeight="1">
      <c r="A34" s="39"/>
      <c r="B34" s="52" t="s">
        <v>45</v>
      </c>
      <c r="C34" s="21">
        <v>703</v>
      </c>
      <c r="D34" s="59" t="s">
        <v>18</v>
      </c>
      <c r="E34" s="59" t="s">
        <v>53</v>
      </c>
      <c r="F34" s="60" t="s">
        <v>46</v>
      </c>
      <c r="G34" s="59" t="s">
        <v>30</v>
      </c>
      <c r="H34" s="65">
        <v>20</v>
      </c>
      <c r="I34" s="65">
        <v>20</v>
      </c>
      <c r="J34" s="66">
        <v>20</v>
      </c>
      <c r="K34" s="45">
        <f t="shared" si="4"/>
        <v>0</v>
      </c>
      <c r="L34" s="66">
        <v>20</v>
      </c>
      <c r="M34" s="63">
        <f>20-15.1</f>
        <v>4.9</v>
      </c>
      <c r="N34" s="63">
        <f>20-15.1</f>
        <v>4.9</v>
      </c>
      <c r="O34" s="81">
        <f t="shared" si="0"/>
        <v>-15.1</v>
      </c>
    </row>
    <row r="35" spans="1:15" ht="72" customHeight="1">
      <c r="A35" s="39"/>
      <c r="B35" s="89" t="s">
        <v>55</v>
      </c>
      <c r="C35" s="21">
        <v>703</v>
      </c>
      <c r="D35" s="90" t="s">
        <v>18</v>
      </c>
      <c r="E35" s="90" t="s">
        <v>53</v>
      </c>
      <c r="F35" s="91" t="s">
        <v>56</v>
      </c>
      <c r="G35" s="90"/>
      <c r="H35" s="92">
        <f>H36</f>
        <v>200</v>
      </c>
      <c r="I35" s="92">
        <f>I36</f>
        <v>200</v>
      </c>
      <c r="J35" s="93">
        <f>J36</f>
        <v>200</v>
      </c>
      <c r="K35" s="45">
        <f t="shared" si="4"/>
        <v>0</v>
      </c>
      <c r="L35" s="93">
        <f>L36</f>
        <v>200</v>
      </c>
      <c r="M35" s="94">
        <f>M36</f>
        <v>305.1</v>
      </c>
      <c r="N35" s="94">
        <f>N36</f>
        <v>305.1</v>
      </c>
      <c r="O35" s="81">
        <f t="shared" si="0"/>
        <v>105.10000000000002</v>
      </c>
    </row>
    <row r="36" spans="1:15" ht="75" customHeight="1">
      <c r="A36" s="39"/>
      <c r="B36" s="53" t="s">
        <v>57</v>
      </c>
      <c r="C36" s="21">
        <v>703</v>
      </c>
      <c r="D36" s="69" t="s">
        <v>18</v>
      </c>
      <c r="E36" s="69" t="s">
        <v>53</v>
      </c>
      <c r="F36" s="60" t="s">
        <v>58</v>
      </c>
      <c r="G36" s="69" t="s">
        <v>30</v>
      </c>
      <c r="H36" s="65">
        <v>200</v>
      </c>
      <c r="I36" s="65">
        <v>200</v>
      </c>
      <c r="J36" s="66">
        <v>200</v>
      </c>
      <c r="K36" s="45">
        <f t="shared" si="4"/>
        <v>0</v>
      </c>
      <c r="L36" s="66">
        <v>200</v>
      </c>
      <c r="M36" s="63">
        <f>200+80+15.1+10</f>
        <v>305.1</v>
      </c>
      <c r="N36" s="63">
        <f>200+80+15.1+10</f>
        <v>305.1</v>
      </c>
      <c r="O36" s="81">
        <f t="shared" si="0"/>
        <v>105.10000000000002</v>
      </c>
    </row>
    <row r="37" spans="1:15" ht="72" customHeight="1">
      <c r="A37" s="39"/>
      <c r="B37" s="74" t="s">
        <v>59</v>
      </c>
      <c r="C37" s="21">
        <v>703</v>
      </c>
      <c r="D37" s="59" t="s">
        <v>18</v>
      </c>
      <c r="E37" s="59" t="s">
        <v>53</v>
      </c>
      <c r="F37" s="60" t="s">
        <v>60</v>
      </c>
      <c r="G37" s="59"/>
      <c r="H37" s="61">
        <f>H38+H41+H44</f>
        <v>13659.7</v>
      </c>
      <c r="I37" s="61">
        <f>I38+I41+I44</f>
        <v>13591.7</v>
      </c>
      <c r="J37" s="66">
        <f>J38+J41+J44+J42</f>
        <v>16083.2</v>
      </c>
      <c r="K37" s="36">
        <f t="shared" si="4"/>
        <v>2491.5</v>
      </c>
      <c r="L37" s="66">
        <f>L38+L41+L44+L42</f>
        <v>16115.199999999999</v>
      </c>
      <c r="M37" s="63">
        <f>M38+M41+M44+M42</f>
        <v>15434.95273</v>
      </c>
      <c r="N37" s="63">
        <f>N38+N41+N44+N42</f>
        <v>14899.01434</v>
      </c>
      <c r="O37" s="38">
        <f t="shared" si="0"/>
        <v>-680.247269999998</v>
      </c>
    </row>
    <row r="38" spans="1:15" ht="38.25" customHeight="1">
      <c r="A38" s="39"/>
      <c r="B38" s="52" t="s">
        <v>61</v>
      </c>
      <c r="C38" s="21">
        <v>703</v>
      </c>
      <c r="D38" s="59" t="s">
        <v>18</v>
      </c>
      <c r="E38" s="59" t="s">
        <v>53</v>
      </c>
      <c r="F38" s="60" t="s">
        <v>62</v>
      </c>
      <c r="G38" s="59"/>
      <c r="H38" s="61">
        <f>H39</f>
        <v>10422.4</v>
      </c>
      <c r="I38" s="61">
        <f>I39</f>
        <v>10422.4</v>
      </c>
      <c r="J38" s="66">
        <f>J39</f>
        <v>10422.4</v>
      </c>
      <c r="K38" s="45">
        <f t="shared" si="4"/>
        <v>0</v>
      </c>
      <c r="L38" s="66">
        <f>L39</f>
        <v>10422.4</v>
      </c>
      <c r="M38" s="63">
        <f>M39</f>
        <v>10525.23739</v>
      </c>
      <c r="N38" s="63">
        <f>N39</f>
        <v>10305</v>
      </c>
      <c r="O38" s="38">
        <f t="shared" si="0"/>
        <v>102.8373900000006</v>
      </c>
    </row>
    <row r="39" spans="1:15" ht="101.25" customHeight="1">
      <c r="A39" s="39"/>
      <c r="B39" s="52" t="s">
        <v>63</v>
      </c>
      <c r="C39" s="21">
        <v>703</v>
      </c>
      <c r="D39" s="59" t="s">
        <v>18</v>
      </c>
      <c r="E39" s="59" t="s">
        <v>53</v>
      </c>
      <c r="F39" s="60" t="s">
        <v>64</v>
      </c>
      <c r="G39" s="59" t="s">
        <v>27</v>
      </c>
      <c r="H39" s="65">
        <f>10360.4+62</f>
        <v>10422.4</v>
      </c>
      <c r="I39" s="65">
        <f>10360.4+62</f>
        <v>10422.4</v>
      </c>
      <c r="J39" s="66">
        <f>10360.4+62</f>
        <v>10422.4</v>
      </c>
      <c r="K39" s="45">
        <f t="shared" si="4"/>
        <v>0</v>
      </c>
      <c r="L39" s="66">
        <f>10360.4+62</f>
        <v>10422.4</v>
      </c>
      <c r="M39" s="63">
        <f>10360.4+62+78.98417+23.85322</f>
        <v>10525.23739</v>
      </c>
      <c r="N39" s="63">
        <v>10305</v>
      </c>
      <c r="O39" s="38">
        <f t="shared" si="0"/>
        <v>102.8373900000006</v>
      </c>
    </row>
    <row r="40" spans="1:15" ht="48.75" customHeight="1">
      <c r="A40" s="39"/>
      <c r="B40" s="52" t="s">
        <v>65</v>
      </c>
      <c r="C40" s="21">
        <v>703</v>
      </c>
      <c r="D40" s="59" t="s">
        <v>18</v>
      </c>
      <c r="E40" s="59" t="s">
        <v>53</v>
      </c>
      <c r="F40" s="60" t="s">
        <v>66</v>
      </c>
      <c r="G40" s="59"/>
      <c r="H40" s="61">
        <f>H41+H42</f>
        <v>2899.3</v>
      </c>
      <c r="I40" s="61">
        <f>I41+I42</f>
        <v>2899.3</v>
      </c>
      <c r="J40" s="95">
        <f>J41+J42</f>
        <v>5390.8</v>
      </c>
      <c r="K40" s="36">
        <f t="shared" si="4"/>
        <v>2491.5</v>
      </c>
      <c r="L40" s="95">
        <f>L41+L42</f>
        <v>5487.950000000001</v>
      </c>
      <c r="M40" s="63">
        <f>M41+M42</f>
        <v>4706.101000000001</v>
      </c>
      <c r="N40" s="63">
        <f>N41+N42</f>
        <v>4390.400000000001</v>
      </c>
      <c r="O40" s="38">
        <f t="shared" si="0"/>
        <v>-781.8490000000002</v>
      </c>
    </row>
    <row r="41" spans="1:15" ht="48" customHeight="1">
      <c r="A41" s="39"/>
      <c r="B41" s="96" t="s">
        <v>67</v>
      </c>
      <c r="C41" s="21">
        <v>703</v>
      </c>
      <c r="D41" s="59" t="s">
        <v>18</v>
      </c>
      <c r="E41" s="59" t="s">
        <v>53</v>
      </c>
      <c r="F41" s="60" t="s">
        <v>68</v>
      </c>
      <c r="G41" s="59" t="s">
        <v>30</v>
      </c>
      <c r="H41" s="65">
        <f>2886.3+75-62</f>
        <v>2899.3</v>
      </c>
      <c r="I41" s="65">
        <f>2886.3+75-62</f>
        <v>2899.3</v>
      </c>
      <c r="J41" s="97">
        <f>2886.3+75-62-0.1128+2491.5</f>
        <v>5390.6872</v>
      </c>
      <c r="K41" s="98">
        <f t="shared" si="4"/>
        <v>2491.3872</v>
      </c>
      <c r="L41" s="97">
        <f>2886.3+75-62-0.1128+2491.5-0.5-2.85-0.02475+100</f>
        <v>5487.31245</v>
      </c>
      <c r="M41" s="84">
        <f>2886.3+75-62-0.1128+2491.5-0.5-2.85-0.02475+100-70-480-100-167.769-80+115.92</f>
        <v>4705.46345</v>
      </c>
      <c r="N41" s="84">
        <v>4389.8</v>
      </c>
      <c r="O41" s="38">
        <f t="shared" si="0"/>
        <v>-781.8490000000002</v>
      </c>
    </row>
    <row r="42" spans="1:15" ht="16.5">
      <c r="A42" s="39"/>
      <c r="B42" s="96" t="s">
        <v>69</v>
      </c>
      <c r="C42" s="21">
        <v>703</v>
      </c>
      <c r="D42" s="59" t="s">
        <v>18</v>
      </c>
      <c r="E42" s="59" t="s">
        <v>53</v>
      </c>
      <c r="F42" s="60" t="s">
        <v>68</v>
      </c>
      <c r="G42" s="59" t="s">
        <v>41</v>
      </c>
      <c r="H42" s="65">
        <v>0</v>
      </c>
      <c r="I42" s="65">
        <v>0</v>
      </c>
      <c r="J42" s="97">
        <f>0.1128</f>
        <v>0.1128</v>
      </c>
      <c r="K42" s="98">
        <f t="shared" si="4"/>
        <v>0.1128</v>
      </c>
      <c r="L42" s="97">
        <f>0.1128+0.5+0.02475</f>
        <v>0.6375500000000001</v>
      </c>
      <c r="M42" s="84">
        <f>0.1128+0.5+0.02475</f>
        <v>0.6375500000000001</v>
      </c>
      <c r="N42" s="84">
        <v>0.6000000000000001</v>
      </c>
      <c r="O42" s="38">
        <f t="shared" si="0"/>
        <v>0</v>
      </c>
    </row>
    <row r="43" spans="1:15" ht="32.25" customHeight="1">
      <c r="A43" s="39"/>
      <c r="B43" s="96" t="s">
        <v>70</v>
      </c>
      <c r="C43" s="21">
        <v>703</v>
      </c>
      <c r="D43" s="59" t="s">
        <v>18</v>
      </c>
      <c r="E43" s="59" t="s">
        <v>53</v>
      </c>
      <c r="F43" s="60" t="s">
        <v>71</v>
      </c>
      <c r="G43" s="59"/>
      <c r="H43" s="61">
        <f>H44</f>
        <v>338</v>
      </c>
      <c r="I43" s="61">
        <f>I44</f>
        <v>270</v>
      </c>
      <c r="J43" s="83">
        <f>J44</f>
        <v>270</v>
      </c>
      <c r="K43" s="99">
        <f t="shared" si="4"/>
        <v>0</v>
      </c>
      <c r="L43" s="83">
        <f>L44</f>
        <v>204.85000000000002</v>
      </c>
      <c r="M43" s="84">
        <f>M44</f>
        <v>203.61434000000003</v>
      </c>
      <c r="N43" s="84">
        <f>N44</f>
        <v>203.61434000000003</v>
      </c>
      <c r="O43" s="38">
        <f t="shared" si="0"/>
        <v>-1.2356599999999958</v>
      </c>
    </row>
    <row r="44" spans="1:15" ht="36.75" customHeight="1">
      <c r="A44" s="39"/>
      <c r="B44" s="96" t="s">
        <v>72</v>
      </c>
      <c r="C44" s="21">
        <v>703</v>
      </c>
      <c r="D44" s="59" t="s">
        <v>18</v>
      </c>
      <c r="E44" s="59" t="s">
        <v>53</v>
      </c>
      <c r="F44" s="60" t="s">
        <v>73</v>
      </c>
      <c r="G44" s="59" t="s">
        <v>41</v>
      </c>
      <c r="H44" s="65">
        <v>338</v>
      </c>
      <c r="I44" s="65">
        <f>338-68</f>
        <v>270</v>
      </c>
      <c r="J44" s="83">
        <f>338-68</f>
        <v>270</v>
      </c>
      <c r="K44" s="99">
        <f t="shared" si="4"/>
        <v>0</v>
      </c>
      <c r="L44" s="83">
        <f>338-68+2.85-68</f>
        <v>204.85000000000002</v>
      </c>
      <c r="M44" s="84">
        <f>338-68+2.85-68-1.23566</f>
        <v>203.61434000000003</v>
      </c>
      <c r="N44" s="84">
        <f>338-68+2.85-68-1.23566</f>
        <v>203.61434000000003</v>
      </c>
      <c r="O44" s="100">
        <f t="shared" si="0"/>
        <v>-1.2356599999999958</v>
      </c>
    </row>
    <row r="45" spans="1:15" ht="61.5" customHeight="1">
      <c r="A45" s="39"/>
      <c r="B45" s="74" t="s">
        <v>74</v>
      </c>
      <c r="C45" s="21">
        <v>703</v>
      </c>
      <c r="D45" s="59" t="s">
        <v>18</v>
      </c>
      <c r="E45" s="59" t="s">
        <v>53</v>
      </c>
      <c r="F45" s="60" t="s">
        <v>20</v>
      </c>
      <c r="G45" s="59"/>
      <c r="H45" s="65">
        <f>H46+H50</f>
        <v>1306.6</v>
      </c>
      <c r="I45" s="65">
        <f>I46+I50</f>
        <v>1490.1</v>
      </c>
      <c r="J45" s="97">
        <f>J46+J50</f>
        <v>1714.694</v>
      </c>
      <c r="K45" s="98">
        <f t="shared" si="4"/>
        <v>224.59400000000005</v>
      </c>
      <c r="L45" s="97">
        <f>L46+L50</f>
        <v>2997.6939999999995</v>
      </c>
      <c r="M45" s="84">
        <f>M46+M50</f>
        <v>1422.5889899999995</v>
      </c>
      <c r="N45" s="84">
        <f>N46+N50</f>
        <v>1402.55458</v>
      </c>
      <c r="O45" s="38">
        <f t="shared" si="0"/>
        <v>-1575.10501</v>
      </c>
    </row>
    <row r="46" spans="1:15" ht="16.5">
      <c r="A46" s="39"/>
      <c r="B46" s="96" t="s">
        <v>75</v>
      </c>
      <c r="C46" s="21">
        <v>703</v>
      </c>
      <c r="D46" s="59" t="s">
        <v>18</v>
      </c>
      <c r="E46" s="59" t="s">
        <v>53</v>
      </c>
      <c r="F46" s="60" t="s">
        <v>76</v>
      </c>
      <c r="G46" s="59"/>
      <c r="H46" s="65">
        <f>H47</f>
        <v>1306.6</v>
      </c>
      <c r="I46" s="65">
        <f>I47</f>
        <v>1306.6</v>
      </c>
      <c r="J46" s="97">
        <f>J47+J49</f>
        <v>1531.194</v>
      </c>
      <c r="K46" s="98">
        <f t="shared" si="4"/>
        <v>224.59400000000005</v>
      </c>
      <c r="L46" s="97">
        <f>L47+L49+L48</f>
        <v>2918.1829999999995</v>
      </c>
      <c r="M46" s="84">
        <f>M47+M49+M48</f>
        <v>1343.0779899999995</v>
      </c>
      <c r="N46" s="84">
        <f>N47+N49+N48</f>
        <v>1323.04358</v>
      </c>
      <c r="O46" s="38">
        <f t="shared" si="0"/>
        <v>-1575.10501</v>
      </c>
    </row>
    <row r="47" spans="1:16" ht="43.5" customHeight="1">
      <c r="A47" s="39"/>
      <c r="B47" s="96" t="s">
        <v>45</v>
      </c>
      <c r="C47" s="21">
        <v>703</v>
      </c>
      <c r="D47" s="59" t="s">
        <v>18</v>
      </c>
      <c r="E47" s="59" t="s">
        <v>53</v>
      </c>
      <c r="F47" s="60" t="s">
        <v>77</v>
      </c>
      <c r="G47" s="59" t="s">
        <v>30</v>
      </c>
      <c r="H47" s="65">
        <v>1306.6</v>
      </c>
      <c r="I47" s="65">
        <v>1306.6</v>
      </c>
      <c r="J47" s="97">
        <f>1306.6-0.11352+222.594</f>
        <v>1529.0804799999999</v>
      </c>
      <c r="K47" s="98">
        <f t="shared" si="4"/>
        <v>222.48047999999994</v>
      </c>
      <c r="L47" s="97">
        <f>1306.6-0.11352+222.594+1200</f>
        <v>2729.0804799999996</v>
      </c>
      <c r="M47" s="84">
        <f>1306.6-0.11352+222.594+1200-1200-230-1.54607</f>
        <v>1297.5344099999995</v>
      </c>
      <c r="N47" s="84">
        <v>1277.5</v>
      </c>
      <c r="O47" s="100">
        <f t="shared" si="0"/>
        <v>-1431.54607</v>
      </c>
      <c r="P47" s="7"/>
    </row>
    <row r="48" spans="1:15" ht="16.5">
      <c r="A48" s="39"/>
      <c r="B48" s="96" t="s">
        <v>78</v>
      </c>
      <c r="C48" s="21">
        <v>703</v>
      </c>
      <c r="D48" s="59" t="s">
        <v>18</v>
      </c>
      <c r="E48" s="59" t="s">
        <v>53</v>
      </c>
      <c r="F48" s="60" t="s">
        <v>77</v>
      </c>
      <c r="G48" s="59" t="s">
        <v>79</v>
      </c>
      <c r="H48" s="65"/>
      <c r="I48" s="65"/>
      <c r="J48" s="97"/>
      <c r="K48" s="98"/>
      <c r="L48" s="97">
        <v>15</v>
      </c>
      <c r="M48" s="84">
        <v>15</v>
      </c>
      <c r="N48" s="84">
        <v>15</v>
      </c>
      <c r="O48" s="38">
        <f t="shared" si="0"/>
        <v>0</v>
      </c>
    </row>
    <row r="49" spans="1:15" ht="16.5">
      <c r="A49" s="39"/>
      <c r="B49" s="96" t="s">
        <v>80</v>
      </c>
      <c r="C49" s="21">
        <v>703</v>
      </c>
      <c r="D49" s="59" t="s">
        <v>18</v>
      </c>
      <c r="E49" s="59" t="s">
        <v>53</v>
      </c>
      <c r="F49" s="60" t="s">
        <v>77</v>
      </c>
      <c r="G49" s="59" t="s">
        <v>41</v>
      </c>
      <c r="H49" s="65">
        <v>0</v>
      </c>
      <c r="I49" s="65">
        <v>0</v>
      </c>
      <c r="J49" s="97">
        <f>0.11352+2</f>
        <v>2.11352</v>
      </c>
      <c r="K49" s="98">
        <f>J49-I49</f>
        <v>2.11352</v>
      </c>
      <c r="L49" s="97">
        <f>2.11352+68-8.51208+112.07301+0.42807</f>
        <v>174.10251999999997</v>
      </c>
      <c r="M49" s="84">
        <f>2.11352+68-8.51208+112.07301+0.42807-143.55894</f>
        <v>30.543579999999963</v>
      </c>
      <c r="N49" s="84">
        <f>2.11352+68-8.51208+112.07301+0.42807-143.55894</f>
        <v>30.543579999999963</v>
      </c>
      <c r="O49" s="100">
        <f t="shared" si="0"/>
        <v>-143.55894</v>
      </c>
    </row>
    <row r="50" spans="1:15" ht="30.75" customHeight="1">
      <c r="A50" s="39"/>
      <c r="B50" s="96" t="s">
        <v>70</v>
      </c>
      <c r="C50" s="21">
        <v>703</v>
      </c>
      <c r="D50" s="59" t="s">
        <v>18</v>
      </c>
      <c r="E50" s="59" t="s">
        <v>53</v>
      </c>
      <c r="F50" s="60" t="s">
        <v>81</v>
      </c>
      <c r="G50" s="59"/>
      <c r="H50" s="65">
        <v>0</v>
      </c>
      <c r="I50" s="65">
        <f>I51</f>
        <v>183.5</v>
      </c>
      <c r="J50" s="83">
        <f>J51</f>
        <v>183.5</v>
      </c>
      <c r="K50" s="98">
        <f aca="true" t="shared" si="20" ref="K50:K53">J50-I50+2</f>
        <v>2</v>
      </c>
      <c r="L50" s="101">
        <f>L51</f>
        <v>79.511</v>
      </c>
      <c r="M50" s="84">
        <f>M51</f>
        <v>79.511</v>
      </c>
      <c r="N50" s="84">
        <f>N51</f>
        <v>79.511</v>
      </c>
      <c r="O50" s="38">
        <f t="shared" si="0"/>
        <v>0</v>
      </c>
    </row>
    <row r="51" spans="1:15" ht="46.5" customHeight="1">
      <c r="A51" s="39"/>
      <c r="B51" s="102" t="s">
        <v>82</v>
      </c>
      <c r="C51" s="21">
        <v>703</v>
      </c>
      <c r="D51" s="59" t="s">
        <v>18</v>
      </c>
      <c r="E51" s="59" t="s">
        <v>53</v>
      </c>
      <c r="F51" s="103" t="s">
        <v>83</v>
      </c>
      <c r="G51" s="59" t="s">
        <v>41</v>
      </c>
      <c r="H51" s="65">
        <v>0</v>
      </c>
      <c r="I51" s="65">
        <f>183.5</f>
        <v>183.5</v>
      </c>
      <c r="J51" s="83">
        <f>183.5</f>
        <v>183.5</v>
      </c>
      <c r="K51" s="98">
        <f t="shared" si="20"/>
        <v>2</v>
      </c>
      <c r="L51" s="101">
        <f>183.5+8.51208-112.07301-0.42807</f>
        <v>79.511</v>
      </c>
      <c r="M51" s="84">
        <f>183.5+8.51208-112.07301-0.42807</f>
        <v>79.511</v>
      </c>
      <c r="N51" s="84">
        <f>183.5+8.51208-112.07301-0.42807</f>
        <v>79.511</v>
      </c>
      <c r="O51" s="38">
        <f t="shared" si="0"/>
        <v>0</v>
      </c>
    </row>
    <row r="52" spans="1:15" ht="21.75" customHeight="1">
      <c r="A52" s="39"/>
      <c r="B52" s="104" t="s">
        <v>21</v>
      </c>
      <c r="C52" s="21">
        <v>703</v>
      </c>
      <c r="D52" s="105" t="s">
        <v>18</v>
      </c>
      <c r="E52" s="105" t="s">
        <v>53</v>
      </c>
      <c r="F52" s="106" t="s">
        <v>22</v>
      </c>
      <c r="G52" s="69"/>
      <c r="H52" s="107"/>
      <c r="I52" s="107"/>
      <c r="J52" s="108">
        <f aca="true" t="shared" si="21" ref="J52:J53">J53</f>
        <v>26.375</v>
      </c>
      <c r="K52" s="98">
        <f t="shared" si="20"/>
        <v>28.375</v>
      </c>
      <c r="L52" s="108">
        <f aca="true" t="shared" si="22" ref="L52:L53">L53</f>
        <v>26.375</v>
      </c>
      <c r="M52" s="109">
        <f aca="true" t="shared" si="23" ref="M52:M53">M53</f>
        <v>26.375</v>
      </c>
      <c r="N52" s="109">
        <f aca="true" t="shared" si="24" ref="N52:N53">N53</f>
        <v>26.375</v>
      </c>
      <c r="O52" s="38">
        <f t="shared" si="0"/>
        <v>0</v>
      </c>
    </row>
    <row r="53" spans="1:15" ht="24.75" customHeight="1">
      <c r="A53" s="39"/>
      <c r="B53" s="104" t="s">
        <v>49</v>
      </c>
      <c r="C53" s="21">
        <v>703</v>
      </c>
      <c r="D53" s="105" t="s">
        <v>18</v>
      </c>
      <c r="E53" s="105" t="s">
        <v>53</v>
      </c>
      <c r="F53" s="106" t="s">
        <v>35</v>
      </c>
      <c r="G53" s="69"/>
      <c r="H53" s="107"/>
      <c r="I53" s="107"/>
      <c r="J53" s="108">
        <f t="shared" si="21"/>
        <v>26.375</v>
      </c>
      <c r="K53" s="110">
        <f t="shared" si="20"/>
        <v>28.375</v>
      </c>
      <c r="L53" s="108">
        <f t="shared" si="22"/>
        <v>26.375</v>
      </c>
      <c r="M53" s="109">
        <f t="shared" si="23"/>
        <v>26.375</v>
      </c>
      <c r="N53" s="109">
        <f t="shared" si="24"/>
        <v>26.375</v>
      </c>
      <c r="O53" s="38">
        <f t="shared" si="0"/>
        <v>0</v>
      </c>
    </row>
    <row r="54" spans="1:15" ht="31.5" customHeight="1">
      <c r="A54" s="39"/>
      <c r="B54" s="52" t="s">
        <v>84</v>
      </c>
      <c r="C54" s="21">
        <v>703</v>
      </c>
      <c r="D54" s="69" t="s">
        <v>18</v>
      </c>
      <c r="E54" s="69" t="s">
        <v>53</v>
      </c>
      <c r="F54" s="111" t="s">
        <v>85</v>
      </c>
      <c r="G54" s="69" t="s">
        <v>41</v>
      </c>
      <c r="H54" s="107"/>
      <c r="I54" s="107"/>
      <c r="J54" s="112">
        <f>26.375</f>
        <v>26.375</v>
      </c>
      <c r="K54" s="100">
        <f>J54-I54</f>
        <v>26.375</v>
      </c>
      <c r="L54" s="112">
        <f>26.375</f>
        <v>26.375</v>
      </c>
      <c r="M54" s="63">
        <f>26.375</f>
        <v>26.375</v>
      </c>
      <c r="N54" s="63">
        <f>26.375</f>
        <v>26.375</v>
      </c>
      <c r="O54" s="38">
        <f t="shared" si="0"/>
        <v>0</v>
      </c>
    </row>
    <row r="55" spans="1:15" ht="15" customHeight="1">
      <c r="A55" s="39"/>
      <c r="B55" s="40" t="s">
        <v>86</v>
      </c>
      <c r="C55" s="21">
        <v>703</v>
      </c>
      <c r="D55" s="76" t="s">
        <v>60</v>
      </c>
      <c r="E55" s="76"/>
      <c r="F55" s="60"/>
      <c r="G55" s="59"/>
      <c r="H55" s="78">
        <f aca="true" t="shared" si="25" ref="H55:H56">H56</f>
        <v>607.5999999999999</v>
      </c>
      <c r="I55" s="78">
        <f aca="true" t="shared" si="26" ref="I55:I56">I56</f>
        <v>607.5999999999999</v>
      </c>
      <c r="J55" s="79">
        <f aca="true" t="shared" si="27" ref="J55:J56">J56</f>
        <v>607.5999999999999</v>
      </c>
      <c r="K55" s="98">
        <f aca="true" t="shared" si="28" ref="K55:K72">J55-I55+2</f>
        <v>2</v>
      </c>
      <c r="L55" s="79">
        <f aca="true" t="shared" si="29" ref="L55:L56">L56</f>
        <v>607.5999999999999</v>
      </c>
      <c r="M55" s="80">
        <f aca="true" t="shared" si="30" ref="M55:M56">M56</f>
        <v>607.5999999999999</v>
      </c>
      <c r="N55" s="80">
        <f aca="true" t="shared" si="31" ref="N55:N56">N56</f>
        <v>607.5999999999999</v>
      </c>
      <c r="O55" s="38">
        <f t="shared" si="0"/>
        <v>0</v>
      </c>
    </row>
    <row r="56" spans="1:15" ht="17.25" customHeight="1">
      <c r="A56" s="39"/>
      <c r="B56" s="40" t="s">
        <v>87</v>
      </c>
      <c r="C56" s="21">
        <v>703</v>
      </c>
      <c r="D56" s="76" t="s">
        <v>60</v>
      </c>
      <c r="E56" s="76" t="s">
        <v>20</v>
      </c>
      <c r="F56" s="77"/>
      <c r="G56" s="76"/>
      <c r="H56" s="78">
        <f t="shared" si="25"/>
        <v>607.5999999999999</v>
      </c>
      <c r="I56" s="78">
        <f t="shared" si="26"/>
        <v>607.5999999999999</v>
      </c>
      <c r="J56" s="79">
        <f t="shared" si="27"/>
        <v>607.5999999999999</v>
      </c>
      <c r="K56" s="98">
        <f t="shared" si="28"/>
        <v>2</v>
      </c>
      <c r="L56" s="79">
        <f t="shared" si="29"/>
        <v>607.5999999999999</v>
      </c>
      <c r="M56" s="80">
        <f t="shared" si="30"/>
        <v>607.5999999999999</v>
      </c>
      <c r="N56" s="80">
        <f t="shared" si="31"/>
        <v>607.5999999999999</v>
      </c>
      <c r="O56" s="38">
        <f t="shared" si="0"/>
        <v>0</v>
      </c>
    </row>
    <row r="57" spans="1:15" ht="15" customHeight="1">
      <c r="A57" s="39"/>
      <c r="B57" s="74" t="s">
        <v>21</v>
      </c>
      <c r="C57" s="21">
        <v>703</v>
      </c>
      <c r="D57" s="59" t="s">
        <v>60</v>
      </c>
      <c r="E57" s="59" t="s">
        <v>20</v>
      </c>
      <c r="F57" s="60" t="s">
        <v>34</v>
      </c>
      <c r="G57" s="59"/>
      <c r="H57" s="61">
        <f>H59+H60</f>
        <v>607.5999999999999</v>
      </c>
      <c r="I57" s="61">
        <f>I59+I60</f>
        <v>607.5999999999999</v>
      </c>
      <c r="J57" s="66">
        <f>J59+J60</f>
        <v>607.5999999999999</v>
      </c>
      <c r="K57" s="98">
        <f t="shared" si="28"/>
        <v>2</v>
      </c>
      <c r="L57" s="66">
        <f>L59+L60</f>
        <v>607.5999999999999</v>
      </c>
      <c r="M57" s="63">
        <f>M59+M60</f>
        <v>607.5999999999999</v>
      </c>
      <c r="N57" s="63">
        <f>N59+N60</f>
        <v>607.5999999999999</v>
      </c>
      <c r="O57" s="38">
        <f t="shared" si="0"/>
        <v>0</v>
      </c>
    </row>
    <row r="58" spans="1:15" ht="15" customHeight="1">
      <c r="A58" s="39"/>
      <c r="B58" s="74" t="s">
        <v>23</v>
      </c>
      <c r="C58" s="21">
        <v>703</v>
      </c>
      <c r="D58" s="59" t="s">
        <v>60</v>
      </c>
      <c r="E58" s="59" t="s">
        <v>20</v>
      </c>
      <c r="F58" s="60" t="s">
        <v>35</v>
      </c>
      <c r="G58" s="59"/>
      <c r="H58" s="61">
        <f>H59+H60</f>
        <v>607.5999999999999</v>
      </c>
      <c r="I58" s="61">
        <f>I59+I60</f>
        <v>607.5999999999999</v>
      </c>
      <c r="J58" s="66">
        <f>J59+J60</f>
        <v>607.5999999999999</v>
      </c>
      <c r="K58" s="98">
        <f t="shared" si="28"/>
        <v>2</v>
      </c>
      <c r="L58" s="66">
        <f>L59+L60</f>
        <v>607.5999999999999</v>
      </c>
      <c r="M58" s="63">
        <f>M59+M60</f>
        <v>607.5999999999999</v>
      </c>
      <c r="N58" s="63">
        <f>N59+N60</f>
        <v>607.5999999999999</v>
      </c>
      <c r="O58" s="38">
        <f t="shared" si="0"/>
        <v>0</v>
      </c>
    </row>
    <row r="59" spans="1:15" ht="99.75" customHeight="1">
      <c r="A59" s="39"/>
      <c r="B59" s="46" t="s">
        <v>88</v>
      </c>
      <c r="C59" s="21">
        <v>703</v>
      </c>
      <c r="D59" s="59" t="s">
        <v>60</v>
      </c>
      <c r="E59" s="59" t="s">
        <v>20</v>
      </c>
      <c r="F59" s="60" t="s">
        <v>89</v>
      </c>
      <c r="G59" s="59" t="s">
        <v>27</v>
      </c>
      <c r="H59" s="65">
        <v>553.31</v>
      </c>
      <c r="I59" s="65">
        <v>553.31</v>
      </c>
      <c r="J59" s="66">
        <v>553.31</v>
      </c>
      <c r="K59" s="98">
        <f t="shared" si="28"/>
        <v>2</v>
      </c>
      <c r="L59" s="66">
        <v>553.31</v>
      </c>
      <c r="M59" s="63">
        <v>553.31</v>
      </c>
      <c r="N59" s="63">
        <v>553.31</v>
      </c>
      <c r="O59" s="38">
        <f t="shared" si="0"/>
        <v>0</v>
      </c>
    </row>
    <row r="60" spans="1:15" ht="61.5" customHeight="1">
      <c r="A60" s="39"/>
      <c r="B60" s="46" t="s">
        <v>90</v>
      </c>
      <c r="C60" s="21">
        <v>703</v>
      </c>
      <c r="D60" s="59" t="s">
        <v>60</v>
      </c>
      <c r="E60" s="59" t="s">
        <v>20</v>
      </c>
      <c r="F60" s="60" t="s">
        <v>89</v>
      </c>
      <c r="G60" s="59" t="s">
        <v>30</v>
      </c>
      <c r="H60" s="65">
        <v>54.29</v>
      </c>
      <c r="I60" s="65">
        <v>54.29</v>
      </c>
      <c r="J60" s="66">
        <v>54.29</v>
      </c>
      <c r="K60" s="98">
        <f t="shared" si="28"/>
        <v>2</v>
      </c>
      <c r="L60" s="66">
        <v>54.29</v>
      </c>
      <c r="M60" s="63">
        <v>54.29</v>
      </c>
      <c r="N60" s="63">
        <v>54.29</v>
      </c>
      <c r="O60" s="38">
        <f t="shared" si="0"/>
        <v>0</v>
      </c>
    </row>
    <row r="61" spans="1:15" ht="30.75" customHeight="1">
      <c r="A61" s="39"/>
      <c r="B61" s="40" t="s">
        <v>91</v>
      </c>
      <c r="C61" s="21">
        <v>703</v>
      </c>
      <c r="D61" s="76" t="s">
        <v>20</v>
      </c>
      <c r="E61" s="76"/>
      <c r="F61" s="77"/>
      <c r="G61" s="76"/>
      <c r="H61" s="78">
        <f>H62+H69</f>
        <v>764.03</v>
      </c>
      <c r="I61" s="78">
        <f>I62+I69</f>
        <v>764.03</v>
      </c>
      <c r="J61" s="79">
        <f>J62+J69</f>
        <v>764.03</v>
      </c>
      <c r="K61" s="98">
        <f t="shared" si="28"/>
        <v>2</v>
      </c>
      <c r="L61" s="113">
        <f>L62+L69</f>
        <v>863.1089999999999</v>
      </c>
      <c r="M61" s="80">
        <f>M62+M69</f>
        <v>775.293</v>
      </c>
      <c r="N61" s="80">
        <f>N62+N69</f>
        <v>775.3299999999999</v>
      </c>
      <c r="O61" s="114">
        <f t="shared" si="0"/>
        <v>-87.81599999999992</v>
      </c>
    </row>
    <row r="62" spans="1:15" ht="46.5" customHeight="1">
      <c r="A62" s="39"/>
      <c r="B62" s="40" t="s">
        <v>92</v>
      </c>
      <c r="C62" s="21">
        <v>703</v>
      </c>
      <c r="D62" s="76" t="s">
        <v>20</v>
      </c>
      <c r="E62" s="76" t="s">
        <v>93</v>
      </c>
      <c r="F62" s="77"/>
      <c r="G62" s="76"/>
      <c r="H62" s="78">
        <f>H63+H66</f>
        <v>762.03</v>
      </c>
      <c r="I62" s="78">
        <f>I63+I66</f>
        <v>762.03</v>
      </c>
      <c r="J62" s="79">
        <f>J63+J66</f>
        <v>762.03</v>
      </c>
      <c r="K62" s="98">
        <f t="shared" si="28"/>
        <v>2</v>
      </c>
      <c r="L62" s="113">
        <f>L63+L66</f>
        <v>861.1089999999999</v>
      </c>
      <c r="M62" s="80">
        <f>M63+M66</f>
        <v>773.293</v>
      </c>
      <c r="N62" s="80">
        <f>N63+N66</f>
        <v>773.3299999999999</v>
      </c>
      <c r="O62" s="114">
        <f t="shared" si="0"/>
        <v>-87.81599999999992</v>
      </c>
    </row>
    <row r="63" spans="1:15" ht="48.75" customHeight="1">
      <c r="A63" s="39"/>
      <c r="B63" s="74" t="s">
        <v>94</v>
      </c>
      <c r="C63" s="21">
        <v>703</v>
      </c>
      <c r="D63" s="59" t="s">
        <v>20</v>
      </c>
      <c r="E63" s="59" t="s">
        <v>93</v>
      </c>
      <c r="F63" s="60" t="s">
        <v>32</v>
      </c>
      <c r="G63" s="59"/>
      <c r="H63" s="61">
        <f>H65</f>
        <v>10</v>
      </c>
      <c r="I63" s="61">
        <f>I65</f>
        <v>10</v>
      </c>
      <c r="J63" s="66">
        <f>J65</f>
        <v>10</v>
      </c>
      <c r="K63" s="98">
        <f t="shared" si="28"/>
        <v>2</v>
      </c>
      <c r="L63" s="62">
        <f>L65</f>
        <v>109.079</v>
      </c>
      <c r="M63" s="63">
        <f>M65</f>
        <v>21.26299999999999</v>
      </c>
      <c r="N63" s="63">
        <f>N65</f>
        <v>21.3</v>
      </c>
      <c r="O63" s="114">
        <f t="shared" si="0"/>
        <v>-87.816</v>
      </c>
    </row>
    <row r="64" spans="1:15" ht="36.75" customHeight="1">
      <c r="A64" s="39"/>
      <c r="B64" s="74" t="s">
        <v>95</v>
      </c>
      <c r="C64" s="21">
        <v>703</v>
      </c>
      <c r="D64" s="59" t="s">
        <v>20</v>
      </c>
      <c r="E64" s="59" t="s">
        <v>93</v>
      </c>
      <c r="F64" s="60" t="s">
        <v>96</v>
      </c>
      <c r="G64" s="59"/>
      <c r="H64" s="61">
        <f>H65</f>
        <v>10</v>
      </c>
      <c r="I64" s="61">
        <f>I65</f>
        <v>10</v>
      </c>
      <c r="J64" s="66">
        <f>J65</f>
        <v>10</v>
      </c>
      <c r="K64" s="98">
        <f t="shared" si="28"/>
        <v>2</v>
      </c>
      <c r="L64" s="115">
        <f>L65</f>
        <v>109.079</v>
      </c>
      <c r="M64" s="63">
        <f>M65</f>
        <v>21.26299999999999</v>
      </c>
      <c r="N64" s="63">
        <f>N65</f>
        <v>21.3</v>
      </c>
      <c r="O64" s="114">
        <f t="shared" si="0"/>
        <v>-87.816</v>
      </c>
    </row>
    <row r="65" spans="1:15" ht="36" customHeight="1">
      <c r="A65" s="39"/>
      <c r="B65" s="116" t="s">
        <v>97</v>
      </c>
      <c r="C65" s="21">
        <v>703</v>
      </c>
      <c r="D65" s="59" t="s">
        <v>20</v>
      </c>
      <c r="E65" s="59" t="s">
        <v>93</v>
      </c>
      <c r="F65" s="60" t="s">
        <v>98</v>
      </c>
      <c r="G65" s="59" t="s">
        <v>30</v>
      </c>
      <c r="H65" s="61">
        <v>10</v>
      </c>
      <c r="I65" s="61">
        <v>10</v>
      </c>
      <c r="J65" s="66">
        <v>10</v>
      </c>
      <c r="K65" s="98">
        <f t="shared" si="28"/>
        <v>2</v>
      </c>
      <c r="L65" s="115">
        <f>10+99.079</f>
        <v>109.079</v>
      </c>
      <c r="M65" s="63">
        <f>10+99.079-8.8-79.016</f>
        <v>21.26299999999999</v>
      </c>
      <c r="N65" s="63">
        <v>21.3</v>
      </c>
      <c r="O65" s="117">
        <f t="shared" si="0"/>
        <v>-87.816</v>
      </c>
    </row>
    <row r="66" spans="1:15" ht="15" customHeight="1">
      <c r="A66" s="39"/>
      <c r="B66" s="74" t="s">
        <v>99</v>
      </c>
      <c r="C66" s="21">
        <v>703</v>
      </c>
      <c r="D66" s="59" t="s">
        <v>20</v>
      </c>
      <c r="E66" s="59" t="s">
        <v>93</v>
      </c>
      <c r="F66" s="60" t="s">
        <v>22</v>
      </c>
      <c r="G66" s="59"/>
      <c r="H66" s="61">
        <f aca="true" t="shared" si="32" ref="H66:H67">H67</f>
        <v>752.03</v>
      </c>
      <c r="I66" s="61">
        <f aca="true" t="shared" si="33" ref="I66:I67">I67</f>
        <v>752.03</v>
      </c>
      <c r="J66" s="66">
        <f aca="true" t="shared" si="34" ref="J66:J67">J67</f>
        <v>752.03</v>
      </c>
      <c r="K66" s="98">
        <f t="shared" si="28"/>
        <v>2</v>
      </c>
      <c r="L66" s="66">
        <f aca="true" t="shared" si="35" ref="L66:L67">L67</f>
        <v>752.03</v>
      </c>
      <c r="M66" s="63">
        <f aca="true" t="shared" si="36" ref="M66:M67">M67</f>
        <v>752.03</v>
      </c>
      <c r="N66" s="63">
        <f aca="true" t="shared" si="37" ref="N66:N67">N67</f>
        <v>752.03</v>
      </c>
      <c r="O66" s="38">
        <f t="shared" si="0"/>
        <v>0</v>
      </c>
    </row>
    <row r="67" spans="1:15" ht="15" customHeight="1">
      <c r="A67" s="39"/>
      <c r="B67" s="74" t="s">
        <v>23</v>
      </c>
      <c r="C67" s="21">
        <v>703</v>
      </c>
      <c r="D67" s="59" t="s">
        <v>20</v>
      </c>
      <c r="E67" s="59" t="s">
        <v>93</v>
      </c>
      <c r="F67" s="60" t="s">
        <v>35</v>
      </c>
      <c r="G67" s="59"/>
      <c r="H67" s="61">
        <f t="shared" si="32"/>
        <v>752.03</v>
      </c>
      <c r="I67" s="61">
        <f t="shared" si="33"/>
        <v>752.03</v>
      </c>
      <c r="J67" s="66">
        <f t="shared" si="34"/>
        <v>752.03</v>
      </c>
      <c r="K67" s="98">
        <f t="shared" si="28"/>
        <v>2</v>
      </c>
      <c r="L67" s="66">
        <f t="shared" si="35"/>
        <v>752.03</v>
      </c>
      <c r="M67" s="63">
        <f t="shared" si="36"/>
        <v>752.03</v>
      </c>
      <c r="N67" s="63">
        <f t="shared" si="37"/>
        <v>752.03</v>
      </c>
      <c r="O67" s="38">
        <f t="shared" si="0"/>
        <v>0</v>
      </c>
    </row>
    <row r="68" spans="1:15" ht="49.5" customHeight="1">
      <c r="A68" s="39"/>
      <c r="B68" s="116" t="s">
        <v>100</v>
      </c>
      <c r="C68" s="21">
        <v>703</v>
      </c>
      <c r="D68" s="59" t="s">
        <v>20</v>
      </c>
      <c r="E68" s="59" t="s">
        <v>93</v>
      </c>
      <c r="F68" s="60" t="s">
        <v>101</v>
      </c>
      <c r="G68" s="118" t="s">
        <v>102</v>
      </c>
      <c r="H68" s="65">
        <v>752.03</v>
      </c>
      <c r="I68" s="65">
        <v>752.03</v>
      </c>
      <c r="J68" s="66">
        <v>752.03</v>
      </c>
      <c r="K68" s="98">
        <f t="shared" si="28"/>
        <v>2</v>
      </c>
      <c r="L68" s="66">
        <v>752.03</v>
      </c>
      <c r="M68" s="63">
        <v>752.03</v>
      </c>
      <c r="N68" s="63">
        <v>752.03</v>
      </c>
      <c r="O68" s="38">
        <f t="shared" si="0"/>
        <v>0</v>
      </c>
    </row>
    <row r="69" spans="1:15" ht="42.75" customHeight="1">
      <c r="A69" s="39"/>
      <c r="B69" s="119" t="s">
        <v>103</v>
      </c>
      <c r="C69" s="21">
        <v>703</v>
      </c>
      <c r="D69" s="76" t="s">
        <v>20</v>
      </c>
      <c r="E69" s="76" t="s">
        <v>104</v>
      </c>
      <c r="F69" s="77"/>
      <c r="G69" s="76"/>
      <c r="H69" s="78">
        <f>H70</f>
        <v>2</v>
      </c>
      <c r="I69" s="78">
        <f>I70</f>
        <v>2</v>
      </c>
      <c r="J69" s="79">
        <f>J70</f>
        <v>2</v>
      </c>
      <c r="K69" s="98">
        <f t="shared" si="28"/>
        <v>2</v>
      </c>
      <c r="L69" s="79">
        <f>L70</f>
        <v>2</v>
      </c>
      <c r="M69" s="80">
        <f>M70</f>
        <v>2</v>
      </c>
      <c r="N69" s="80">
        <f>N70</f>
        <v>2</v>
      </c>
      <c r="O69" s="38">
        <f t="shared" si="0"/>
        <v>0</v>
      </c>
    </row>
    <row r="70" spans="1:15" ht="59.25" customHeight="1">
      <c r="A70" s="39"/>
      <c r="B70" s="120" t="s">
        <v>105</v>
      </c>
      <c r="C70" s="21">
        <v>703</v>
      </c>
      <c r="D70" s="121" t="s">
        <v>20</v>
      </c>
      <c r="E70" s="121" t="s">
        <v>104</v>
      </c>
      <c r="F70" s="68" t="s">
        <v>106</v>
      </c>
      <c r="G70" s="59"/>
      <c r="H70" s="107">
        <f>H72</f>
        <v>2</v>
      </c>
      <c r="I70" s="107">
        <f>I72</f>
        <v>2</v>
      </c>
      <c r="J70" s="122">
        <f>J72</f>
        <v>2</v>
      </c>
      <c r="K70" s="110">
        <f t="shared" si="28"/>
        <v>2</v>
      </c>
      <c r="L70" s="122">
        <f>L72</f>
        <v>2</v>
      </c>
      <c r="M70" s="109">
        <f>M72</f>
        <v>2</v>
      </c>
      <c r="N70" s="109">
        <f>N72</f>
        <v>2</v>
      </c>
      <c r="O70" s="38">
        <f t="shared" si="0"/>
        <v>0</v>
      </c>
    </row>
    <row r="71" spans="1:15" ht="45.75" customHeight="1">
      <c r="A71" s="39"/>
      <c r="B71" s="120" t="s">
        <v>107</v>
      </c>
      <c r="C71" s="21">
        <v>703</v>
      </c>
      <c r="D71" s="121" t="s">
        <v>20</v>
      </c>
      <c r="E71" s="121" t="s">
        <v>104</v>
      </c>
      <c r="F71" s="68" t="s">
        <v>108</v>
      </c>
      <c r="G71" s="59"/>
      <c r="H71" s="61">
        <f>H72</f>
        <v>2</v>
      </c>
      <c r="I71" s="61">
        <f>I72</f>
        <v>2</v>
      </c>
      <c r="J71" s="66">
        <f>J72</f>
        <v>2</v>
      </c>
      <c r="K71" s="98">
        <f t="shared" si="28"/>
        <v>2</v>
      </c>
      <c r="L71" s="66">
        <f>L72</f>
        <v>2</v>
      </c>
      <c r="M71" s="63">
        <f>M72</f>
        <v>2</v>
      </c>
      <c r="N71" s="63">
        <f>N72</f>
        <v>2</v>
      </c>
      <c r="O71" s="38">
        <f t="shared" si="0"/>
        <v>0</v>
      </c>
    </row>
    <row r="72" spans="1:15" ht="30.75" customHeight="1">
      <c r="A72" s="39"/>
      <c r="B72" s="120" t="s">
        <v>45</v>
      </c>
      <c r="C72" s="21">
        <v>703</v>
      </c>
      <c r="D72" s="121" t="s">
        <v>20</v>
      </c>
      <c r="E72" s="121" t="s">
        <v>104</v>
      </c>
      <c r="F72" s="68" t="s">
        <v>109</v>
      </c>
      <c r="G72" s="59" t="s">
        <v>30</v>
      </c>
      <c r="H72" s="107">
        <v>2</v>
      </c>
      <c r="I72" s="107">
        <v>2</v>
      </c>
      <c r="J72" s="122">
        <v>2</v>
      </c>
      <c r="K72" s="98">
        <f t="shared" si="28"/>
        <v>2</v>
      </c>
      <c r="L72" s="122">
        <v>2</v>
      </c>
      <c r="M72" s="109">
        <v>2</v>
      </c>
      <c r="N72" s="109">
        <v>2</v>
      </c>
      <c r="O72" s="38">
        <f t="shared" si="0"/>
        <v>0</v>
      </c>
    </row>
    <row r="73" spans="1:15" ht="25.5" customHeight="1">
      <c r="A73" s="39"/>
      <c r="B73" s="119" t="s">
        <v>110</v>
      </c>
      <c r="C73" s="21">
        <v>703</v>
      </c>
      <c r="D73" s="76" t="s">
        <v>32</v>
      </c>
      <c r="E73" s="76"/>
      <c r="F73" s="77"/>
      <c r="G73" s="76"/>
      <c r="H73" s="78">
        <f>H74+H78+H82+H98</f>
        <v>8183.3</v>
      </c>
      <c r="I73" s="78">
        <f>I74+I78+I82+I98</f>
        <v>15467.2</v>
      </c>
      <c r="J73" s="87">
        <f>J74+J78+J82+J98</f>
        <v>36376.458320000005</v>
      </c>
      <c r="K73" s="36">
        <f aca="true" t="shared" si="38" ref="K73:K89">J73-I73</f>
        <v>20909.258320000004</v>
      </c>
      <c r="L73" s="87">
        <f>L74+L78+L82+L98</f>
        <v>40225.738320000004</v>
      </c>
      <c r="M73" s="80">
        <f>M74+M78+M82+M98</f>
        <v>36729.684</v>
      </c>
      <c r="N73" s="80">
        <f>N74+N78+N82+N98</f>
        <v>36131.68002</v>
      </c>
      <c r="O73" s="38">
        <f t="shared" si="0"/>
        <v>-3496.054320000003</v>
      </c>
    </row>
    <row r="74" spans="1:15" ht="15" customHeight="1">
      <c r="A74" s="39"/>
      <c r="B74" s="123" t="s">
        <v>111</v>
      </c>
      <c r="C74" s="21">
        <v>703</v>
      </c>
      <c r="D74" s="76" t="s">
        <v>32</v>
      </c>
      <c r="E74" s="76" t="s">
        <v>18</v>
      </c>
      <c r="F74" s="77"/>
      <c r="G74" s="76"/>
      <c r="H74" s="86">
        <f aca="true" t="shared" si="39" ref="H74:H76">H75</f>
        <v>750</v>
      </c>
      <c r="I74" s="86">
        <f aca="true" t="shared" si="40" ref="I74:I76">I75</f>
        <v>750</v>
      </c>
      <c r="J74" s="79">
        <f aca="true" t="shared" si="41" ref="J74:J76">J75</f>
        <v>750</v>
      </c>
      <c r="K74" s="124">
        <f t="shared" si="38"/>
        <v>0</v>
      </c>
      <c r="L74" s="79">
        <f aca="true" t="shared" si="42" ref="L74:L76">L75</f>
        <v>3017.78</v>
      </c>
      <c r="M74" s="80">
        <f aca="true" t="shared" si="43" ref="M74:M76">M75</f>
        <v>0</v>
      </c>
      <c r="N74" s="80">
        <f aca="true" t="shared" si="44" ref="N74:N76">N75</f>
        <v>0</v>
      </c>
      <c r="O74" s="124">
        <f t="shared" si="0"/>
        <v>-3017.78</v>
      </c>
    </row>
    <row r="75" spans="1:15" ht="15" customHeight="1">
      <c r="A75" s="39"/>
      <c r="B75" s="116" t="s">
        <v>21</v>
      </c>
      <c r="C75" s="21">
        <v>703</v>
      </c>
      <c r="D75" s="59" t="s">
        <v>32</v>
      </c>
      <c r="E75" s="59" t="s">
        <v>18</v>
      </c>
      <c r="F75" s="60" t="s">
        <v>22</v>
      </c>
      <c r="G75" s="76"/>
      <c r="H75" s="65">
        <f t="shared" si="39"/>
        <v>750</v>
      </c>
      <c r="I75" s="65">
        <f t="shared" si="40"/>
        <v>750</v>
      </c>
      <c r="J75" s="66">
        <f t="shared" si="41"/>
        <v>750</v>
      </c>
      <c r="K75" s="124">
        <f t="shared" si="38"/>
        <v>0</v>
      </c>
      <c r="L75" s="66">
        <f t="shared" si="42"/>
        <v>3017.78</v>
      </c>
      <c r="M75" s="63">
        <f t="shared" si="43"/>
        <v>0</v>
      </c>
      <c r="N75" s="63">
        <f t="shared" si="44"/>
        <v>0</v>
      </c>
      <c r="O75" s="124">
        <f t="shared" si="0"/>
        <v>-3017.78</v>
      </c>
    </row>
    <row r="76" spans="1:15" ht="15" customHeight="1">
      <c r="A76" s="39"/>
      <c r="B76" s="74" t="s">
        <v>23</v>
      </c>
      <c r="C76" s="21">
        <v>703</v>
      </c>
      <c r="D76" s="59" t="s">
        <v>32</v>
      </c>
      <c r="E76" s="59" t="s">
        <v>18</v>
      </c>
      <c r="F76" s="60" t="s">
        <v>35</v>
      </c>
      <c r="G76" s="76"/>
      <c r="H76" s="65">
        <f t="shared" si="39"/>
        <v>750</v>
      </c>
      <c r="I76" s="65">
        <f t="shared" si="40"/>
        <v>750</v>
      </c>
      <c r="J76" s="66">
        <f t="shared" si="41"/>
        <v>750</v>
      </c>
      <c r="K76" s="124">
        <f t="shared" si="38"/>
        <v>0</v>
      </c>
      <c r="L76" s="66">
        <f t="shared" si="42"/>
        <v>3017.78</v>
      </c>
      <c r="M76" s="63">
        <f t="shared" si="43"/>
        <v>0</v>
      </c>
      <c r="N76" s="63">
        <f t="shared" si="44"/>
        <v>0</v>
      </c>
      <c r="O76" s="124">
        <f t="shared" si="0"/>
        <v>-3017.78</v>
      </c>
    </row>
    <row r="77" spans="1:15" ht="46.5" customHeight="1">
      <c r="A77" s="39"/>
      <c r="B77" s="120" t="s">
        <v>112</v>
      </c>
      <c r="C77" s="21">
        <v>703</v>
      </c>
      <c r="D77" s="59" t="s">
        <v>32</v>
      </c>
      <c r="E77" s="59" t="s">
        <v>18</v>
      </c>
      <c r="F77" s="60" t="s">
        <v>113</v>
      </c>
      <c r="G77" s="125" t="s">
        <v>41</v>
      </c>
      <c r="H77" s="65">
        <f>1000-250</f>
        <v>750</v>
      </c>
      <c r="I77" s="65">
        <f>1000-250</f>
        <v>750</v>
      </c>
      <c r="J77" s="66">
        <f>1000-250-750+750</f>
        <v>750</v>
      </c>
      <c r="K77" s="124">
        <f t="shared" si="38"/>
        <v>0</v>
      </c>
      <c r="L77" s="66">
        <f>1000-250-750+750-200-100+200+100+2267.78</f>
        <v>3017.78</v>
      </c>
      <c r="M77" s="63">
        <f>1000-250-750+750-200-100+200+100+2267.78-3017.78</f>
        <v>0</v>
      </c>
      <c r="N77" s="63">
        <f>1000-250-750+750-200-100+200+100+2267.78-3017.78</f>
        <v>0</v>
      </c>
      <c r="O77" s="126">
        <f t="shared" si="0"/>
        <v>-3017.78</v>
      </c>
    </row>
    <row r="78" spans="1:15" ht="15" customHeight="1">
      <c r="A78" s="39"/>
      <c r="B78" s="119" t="s">
        <v>114</v>
      </c>
      <c r="C78" s="21">
        <v>703</v>
      </c>
      <c r="D78" s="76" t="s">
        <v>32</v>
      </c>
      <c r="E78" s="76" t="s">
        <v>115</v>
      </c>
      <c r="F78" s="77"/>
      <c r="G78" s="76"/>
      <c r="H78" s="78">
        <f>H79</f>
        <v>50</v>
      </c>
      <c r="I78" s="78">
        <f>I79</f>
        <v>150</v>
      </c>
      <c r="J78" s="79">
        <f>J79</f>
        <v>150</v>
      </c>
      <c r="K78" s="45">
        <f t="shared" si="38"/>
        <v>0</v>
      </c>
      <c r="L78" s="79">
        <f>L79</f>
        <v>150</v>
      </c>
      <c r="M78" s="80">
        <f>M79</f>
        <v>49</v>
      </c>
      <c r="N78" s="80">
        <f>N79</f>
        <v>49</v>
      </c>
      <c r="O78" s="81">
        <f t="shared" si="0"/>
        <v>-101</v>
      </c>
    </row>
    <row r="79" spans="1:15" ht="62.25" customHeight="1">
      <c r="A79" s="39"/>
      <c r="B79" s="74" t="s">
        <v>116</v>
      </c>
      <c r="C79" s="21">
        <v>703</v>
      </c>
      <c r="D79" s="59" t="s">
        <v>32</v>
      </c>
      <c r="E79" s="59" t="s">
        <v>115</v>
      </c>
      <c r="F79" s="60" t="s">
        <v>117</v>
      </c>
      <c r="G79" s="59"/>
      <c r="H79" s="61">
        <f>H81</f>
        <v>50</v>
      </c>
      <c r="I79" s="61">
        <f>I81</f>
        <v>150</v>
      </c>
      <c r="J79" s="66">
        <f>J81</f>
        <v>150</v>
      </c>
      <c r="K79" s="45">
        <f t="shared" si="38"/>
        <v>0</v>
      </c>
      <c r="L79" s="66">
        <f>L81</f>
        <v>150</v>
      </c>
      <c r="M79" s="63">
        <f>M81</f>
        <v>49</v>
      </c>
      <c r="N79" s="63">
        <f>N81</f>
        <v>49</v>
      </c>
      <c r="O79" s="81">
        <f t="shared" si="0"/>
        <v>-101</v>
      </c>
    </row>
    <row r="80" spans="1:15" ht="30.75" customHeight="1">
      <c r="A80" s="39"/>
      <c r="B80" s="74" t="s">
        <v>118</v>
      </c>
      <c r="C80" s="21">
        <v>703</v>
      </c>
      <c r="D80" s="59" t="s">
        <v>32</v>
      </c>
      <c r="E80" s="59" t="s">
        <v>115</v>
      </c>
      <c r="F80" s="60" t="s">
        <v>119</v>
      </c>
      <c r="G80" s="59"/>
      <c r="H80" s="61">
        <f>H81</f>
        <v>50</v>
      </c>
      <c r="I80" s="61">
        <f>I81</f>
        <v>150</v>
      </c>
      <c r="J80" s="66">
        <f>J81</f>
        <v>150</v>
      </c>
      <c r="K80" s="45">
        <f t="shared" si="38"/>
        <v>0</v>
      </c>
      <c r="L80" s="66">
        <f>L81</f>
        <v>150</v>
      </c>
      <c r="M80" s="63">
        <f>M81</f>
        <v>49</v>
      </c>
      <c r="N80" s="63">
        <f>N81</f>
        <v>49</v>
      </c>
      <c r="O80" s="81">
        <f t="shared" si="0"/>
        <v>-101</v>
      </c>
    </row>
    <row r="81" spans="1:15" ht="46.5" customHeight="1">
      <c r="A81" s="39"/>
      <c r="B81" s="74" t="s">
        <v>120</v>
      </c>
      <c r="C81" s="21">
        <v>703</v>
      </c>
      <c r="D81" s="59" t="s">
        <v>32</v>
      </c>
      <c r="E81" s="59" t="s">
        <v>115</v>
      </c>
      <c r="F81" s="60" t="s">
        <v>121</v>
      </c>
      <c r="G81" s="59" t="s">
        <v>30</v>
      </c>
      <c r="H81" s="61">
        <v>50</v>
      </c>
      <c r="I81" s="61">
        <f>50+100</f>
        <v>150</v>
      </c>
      <c r="J81" s="66">
        <f>50+100</f>
        <v>150</v>
      </c>
      <c r="K81" s="45">
        <f t="shared" si="38"/>
        <v>0</v>
      </c>
      <c r="L81" s="66">
        <f>50+100</f>
        <v>150</v>
      </c>
      <c r="M81" s="63">
        <f>50+100-101</f>
        <v>49</v>
      </c>
      <c r="N81" s="63">
        <f>50+100-101</f>
        <v>49</v>
      </c>
      <c r="O81" s="85">
        <f t="shared" si="0"/>
        <v>-101</v>
      </c>
    </row>
    <row r="82" spans="1:15" ht="16.5">
      <c r="A82" s="39"/>
      <c r="B82" s="127" t="s">
        <v>122</v>
      </c>
      <c r="C82" s="21">
        <v>703</v>
      </c>
      <c r="D82" s="76" t="s">
        <v>32</v>
      </c>
      <c r="E82" s="76" t="s">
        <v>93</v>
      </c>
      <c r="F82" s="77"/>
      <c r="G82" s="76"/>
      <c r="H82" s="86">
        <f>H83+H95</f>
        <v>5257.5</v>
      </c>
      <c r="I82" s="86">
        <f>I83+I95</f>
        <v>12441.4</v>
      </c>
      <c r="J82" s="87">
        <f>J83+J95</f>
        <v>33350.65832</v>
      </c>
      <c r="K82" s="36">
        <f t="shared" si="38"/>
        <v>20909.25832</v>
      </c>
      <c r="L82" s="87">
        <f>L83+L95</f>
        <v>34932.15832</v>
      </c>
      <c r="M82" s="80">
        <f>M83+M95</f>
        <v>34569.99889</v>
      </c>
      <c r="N82" s="80">
        <f>N83+N95</f>
        <v>34438.38002</v>
      </c>
      <c r="O82" s="38">
        <f t="shared" si="0"/>
        <v>-362.1594299999997</v>
      </c>
    </row>
    <row r="83" spans="1:15" ht="47.25" customHeight="1">
      <c r="A83" s="39"/>
      <c r="B83" s="128" t="s">
        <v>123</v>
      </c>
      <c r="C83" s="21">
        <v>703</v>
      </c>
      <c r="D83" s="59" t="s">
        <v>32</v>
      </c>
      <c r="E83" s="59" t="s">
        <v>93</v>
      </c>
      <c r="F83" s="60" t="s">
        <v>124</v>
      </c>
      <c r="G83" s="59"/>
      <c r="H83" s="65">
        <f>H84+H89+H93</f>
        <v>5257.5</v>
      </c>
      <c r="I83" s="65">
        <f>I84+I89+I93</f>
        <v>12441.4</v>
      </c>
      <c r="J83" s="129">
        <f>J84+J89+J93</f>
        <v>33350.65832</v>
      </c>
      <c r="K83" s="36">
        <f t="shared" si="38"/>
        <v>20909.25832</v>
      </c>
      <c r="L83" s="97">
        <f>L84+L89+L93</f>
        <v>34932.15832</v>
      </c>
      <c r="M83" s="84">
        <f>M84+M89+M93</f>
        <v>34569.99889</v>
      </c>
      <c r="N83" s="84">
        <f>N84+N89+N93</f>
        <v>34438.38002</v>
      </c>
      <c r="O83" s="38">
        <f t="shared" si="0"/>
        <v>-362.1594299999997</v>
      </c>
    </row>
    <row r="84" spans="1:15" ht="47.25" customHeight="1">
      <c r="A84" s="39"/>
      <c r="B84" s="46" t="s">
        <v>125</v>
      </c>
      <c r="C84" s="21">
        <v>703</v>
      </c>
      <c r="D84" s="59" t="s">
        <v>32</v>
      </c>
      <c r="E84" s="59" t="s">
        <v>93</v>
      </c>
      <c r="F84" s="60" t="s">
        <v>126</v>
      </c>
      <c r="G84" s="59"/>
      <c r="H84" s="65">
        <f>H85+H88</f>
        <v>1457.5</v>
      </c>
      <c r="I84" s="65">
        <f>I85+I88+I86</f>
        <v>8641.4</v>
      </c>
      <c r="J84" s="95">
        <f>J85+J88+J86</f>
        <v>29072.132</v>
      </c>
      <c r="K84" s="130">
        <f t="shared" si="38"/>
        <v>20430.732000000004</v>
      </c>
      <c r="L84" s="131">
        <f>L85+L87+L88</f>
        <v>29072.132</v>
      </c>
      <c r="M84" s="84">
        <f>M85+M87+M88</f>
        <v>28667.572220000002</v>
      </c>
      <c r="N84" s="84">
        <f>N85+N87+N88</f>
        <v>28562.340220000002</v>
      </c>
      <c r="O84" s="38">
        <f t="shared" si="0"/>
        <v>-404.5597799999996</v>
      </c>
    </row>
    <row r="85" spans="1:15" ht="62.25" customHeight="1">
      <c r="A85" s="39"/>
      <c r="B85" s="53" t="s">
        <v>127</v>
      </c>
      <c r="C85" s="21">
        <v>703</v>
      </c>
      <c r="D85" s="69" t="s">
        <v>32</v>
      </c>
      <c r="E85" s="69" t="s">
        <v>93</v>
      </c>
      <c r="F85" s="60" t="s">
        <v>128</v>
      </c>
      <c r="G85" s="59" t="s">
        <v>30</v>
      </c>
      <c r="H85" s="65">
        <v>457.5</v>
      </c>
      <c r="I85" s="65">
        <v>457.5</v>
      </c>
      <c r="J85" s="66">
        <v>457.5</v>
      </c>
      <c r="K85" s="45">
        <f t="shared" si="38"/>
        <v>0</v>
      </c>
      <c r="L85" s="83">
        <v>457.5</v>
      </c>
      <c r="M85" s="84">
        <f>457.5-153.679-187.7508-63.12998</f>
        <v>52.940220000000025</v>
      </c>
      <c r="N85" s="84">
        <f>457.5-153.679-187.7508-63.12998</f>
        <v>52.940220000000025</v>
      </c>
      <c r="O85" s="100">
        <f t="shared" si="0"/>
        <v>-404.55978</v>
      </c>
    </row>
    <row r="86" spans="1:15" ht="63" customHeight="1">
      <c r="A86" s="39"/>
      <c r="B86" s="53" t="s">
        <v>129</v>
      </c>
      <c r="C86" s="21">
        <v>703</v>
      </c>
      <c r="D86" s="69" t="s">
        <v>32</v>
      </c>
      <c r="E86" s="69" t="s">
        <v>93</v>
      </c>
      <c r="F86" s="60" t="s">
        <v>130</v>
      </c>
      <c r="G86" s="59" t="s">
        <v>30</v>
      </c>
      <c r="H86" s="65">
        <v>0</v>
      </c>
      <c r="I86" s="132">
        <v>7183.9</v>
      </c>
      <c r="J86" s="83">
        <f aca="true" t="shared" si="45" ref="J86:J87">7183.9+20000</f>
        <v>27183.9</v>
      </c>
      <c r="K86" s="45">
        <f t="shared" si="38"/>
        <v>20000</v>
      </c>
      <c r="L86" s="83">
        <f>7183.9+20000</f>
        <v>27183.9</v>
      </c>
      <c r="M86" s="84">
        <f>7183.9+20000</f>
        <v>27183.9</v>
      </c>
      <c r="N86" s="84">
        <f>7183.9+20000</f>
        <v>27183.9</v>
      </c>
      <c r="O86" s="38">
        <f t="shared" si="0"/>
        <v>0</v>
      </c>
    </row>
    <row r="87" spans="1:15" ht="55.5" customHeight="1">
      <c r="A87" s="39"/>
      <c r="B87" s="53" t="s">
        <v>129</v>
      </c>
      <c r="C87" s="21">
        <v>703</v>
      </c>
      <c r="D87" s="69" t="s">
        <v>32</v>
      </c>
      <c r="E87" s="69" t="s">
        <v>93</v>
      </c>
      <c r="F87" s="60" t="s">
        <v>130</v>
      </c>
      <c r="G87" s="59" t="s">
        <v>30</v>
      </c>
      <c r="H87" s="65">
        <v>0</v>
      </c>
      <c r="I87" s="132">
        <v>7183.9</v>
      </c>
      <c r="J87" s="83">
        <f t="shared" si="45"/>
        <v>27183.9</v>
      </c>
      <c r="K87" s="45">
        <f t="shared" si="38"/>
        <v>20000</v>
      </c>
      <c r="L87" s="83">
        <f>7183.9+20000-27183.9</f>
        <v>0</v>
      </c>
      <c r="M87" s="84">
        <f>7183.9+20000-27183.9</f>
        <v>0</v>
      </c>
      <c r="N87" s="84">
        <f>7183.9+20000-27183.9</f>
        <v>0</v>
      </c>
      <c r="O87" s="38">
        <f t="shared" si="0"/>
        <v>0</v>
      </c>
    </row>
    <row r="88" spans="1:15" ht="57.75" customHeight="1">
      <c r="A88" s="39"/>
      <c r="B88" s="53" t="s">
        <v>131</v>
      </c>
      <c r="C88" s="21">
        <v>703</v>
      </c>
      <c r="D88" s="59" t="s">
        <v>32</v>
      </c>
      <c r="E88" s="59" t="s">
        <v>93</v>
      </c>
      <c r="F88" s="60" t="s">
        <v>132</v>
      </c>
      <c r="G88" s="59" t="s">
        <v>30</v>
      </c>
      <c r="H88" s="65">
        <v>1000</v>
      </c>
      <c r="I88" s="65">
        <v>1000</v>
      </c>
      <c r="J88" s="129">
        <f>1000+430.732</f>
        <v>1430.732</v>
      </c>
      <c r="K88" s="36">
        <f t="shared" si="38"/>
        <v>430.73199999999997</v>
      </c>
      <c r="L88" s="97">
        <f>1000+430.732+27183.9</f>
        <v>28614.632</v>
      </c>
      <c r="M88" s="84">
        <f>1000+430.732+27183.9</f>
        <v>28614.632</v>
      </c>
      <c r="N88" s="84">
        <v>28509.4</v>
      </c>
      <c r="O88" s="38">
        <f t="shared" si="0"/>
        <v>0</v>
      </c>
    </row>
    <row r="89" spans="1:15" ht="48" customHeight="1">
      <c r="A89" s="39"/>
      <c r="B89" s="46" t="s">
        <v>133</v>
      </c>
      <c r="C89" s="21">
        <v>703</v>
      </c>
      <c r="D89" s="69" t="s">
        <v>32</v>
      </c>
      <c r="E89" s="69" t="s">
        <v>93</v>
      </c>
      <c r="F89" s="60" t="s">
        <v>134</v>
      </c>
      <c r="G89" s="59"/>
      <c r="H89" s="65">
        <f>H91</f>
        <v>3600</v>
      </c>
      <c r="I89" s="65">
        <f>I91</f>
        <v>3600</v>
      </c>
      <c r="J89" s="129">
        <f>J91+J92</f>
        <v>4078.52632</v>
      </c>
      <c r="K89" s="36">
        <f t="shared" si="38"/>
        <v>478.52631999999994</v>
      </c>
      <c r="L89" s="97">
        <f>L91+L92</f>
        <v>5560.02632</v>
      </c>
      <c r="M89" s="84">
        <f>M91+M92+M90</f>
        <v>5458.7376699999995</v>
      </c>
      <c r="N89" s="84">
        <f>N91+N92+N90</f>
        <v>5432.3508</v>
      </c>
      <c r="O89" s="38">
        <f t="shared" si="0"/>
        <v>-101.28865000000042</v>
      </c>
    </row>
    <row r="90" spans="1:15" ht="96" customHeight="1">
      <c r="A90" s="39"/>
      <c r="B90" s="46" t="s">
        <v>135</v>
      </c>
      <c r="C90" s="21">
        <v>703</v>
      </c>
      <c r="D90" s="69" t="s">
        <v>32</v>
      </c>
      <c r="E90" s="69" t="s">
        <v>93</v>
      </c>
      <c r="F90" s="60" t="s">
        <v>136</v>
      </c>
      <c r="G90" s="59" t="s">
        <v>30</v>
      </c>
      <c r="H90" s="65"/>
      <c r="I90" s="65"/>
      <c r="J90" s="129"/>
      <c r="K90" s="36"/>
      <c r="L90" s="97"/>
      <c r="M90" s="84">
        <f>187.7508</f>
        <v>187.7508</v>
      </c>
      <c r="N90" s="84">
        <f>187.7508</f>
        <v>187.7508</v>
      </c>
      <c r="O90" s="38">
        <f t="shared" si="0"/>
        <v>187.7508</v>
      </c>
    </row>
    <row r="91" spans="1:15" ht="60" customHeight="1">
      <c r="A91" s="39"/>
      <c r="B91" s="133" t="s">
        <v>137</v>
      </c>
      <c r="C91" s="21">
        <v>703</v>
      </c>
      <c r="D91" s="69" t="s">
        <v>32</v>
      </c>
      <c r="E91" s="69" t="s">
        <v>93</v>
      </c>
      <c r="F91" s="60" t="s">
        <v>138</v>
      </c>
      <c r="G91" s="59" t="s">
        <v>30</v>
      </c>
      <c r="H91" s="65">
        <f>3300+300</f>
        <v>3600</v>
      </c>
      <c r="I91" s="65">
        <f>3300+300</f>
        <v>3600</v>
      </c>
      <c r="J91" s="129">
        <f>3300+300+450.52632-28+28</f>
        <v>4050.52632</v>
      </c>
      <c r="K91" s="36">
        <f aca="true" t="shared" si="46" ref="K91:K118">J91-I91</f>
        <v>450.52631999999994</v>
      </c>
      <c r="L91" s="97">
        <f>3300+300+450.52632-28+28+200+1000-1000+1000+281.5</f>
        <v>5532.02632</v>
      </c>
      <c r="M91" s="84">
        <f>3300+300+450.52632-28+28+200+1000-1000+1000+281.5+187.7508-288.71576-0.32369-187.7508</f>
        <v>5242.98687</v>
      </c>
      <c r="N91" s="84">
        <v>5216.6</v>
      </c>
      <c r="O91" s="100">
        <f t="shared" si="0"/>
        <v>-289.0394500000002</v>
      </c>
    </row>
    <row r="92" spans="1:15" ht="60" customHeight="1" hidden="1">
      <c r="A92" s="39"/>
      <c r="B92" s="53" t="s">
        <v>139</v>
      </c>
      <c r="C92" s="21">
        <v>703</v>
      </c>
      <c r="D92" s="69" t="s">
        <v>32</v>
      </c>
      <c r="E92" s="69" t="s">
        <v>93</v>
      </c>
      <c r="F92" s="60" t="s">
        <v>138</v>
      </c>
      <c r="G92" s="59" t="s">
        <v>41</v>
      </c>
      <c r="H92" s="65">
        <v>0</v>
      </c>
      <c r="I92" s="65">
        <v>0</v>
      </c>
      <c r="J92" s="129">
        <f>0+28</f>
        <v>28</v>
      </c>
      <c r="K92" s="36">
        <f t="shared" si="46"/>
        <v>28</v>
      </c>
      <c r="L92" s="97">
        <f>0+28</f>
        <v>28</v>
      </c>
      <c r="M92" s="84">
        <f>0+28</f>
        <v>28</v>
      </c>
      <c r="N92" s="84">
        <f>0+28</f>
        <v>28</v>
      </c>
      <c r="O92" s="38">
        <f t="shared" si="0"/>
        <v>0</v>
      </c>
    </row>
    <row r="93" spans="1:15" ht="30.75" customHeight="1">
      <c r="A93" s="39"/>
      <c r="B93" s="128" t="s">
        <v>140</v>
      </c>
      <c r="C93" s="21">
        <v>703</v>
      </c>
      <c r="D93" s="69" t="s">
        <v>32</v>
      </c>
      <c r="E93" s="69" t="s">
        <v>93</v>
      </c>
      <c r="F93" s="60" t="s">
        <v>141</v>
      </c>
      <c r="G93" s="59"/>
      <c r="H93" s="65">
        <f>H94</f>
        <v>200</v>
      </c>
      <c r="I93" s="65">
        <f>I94</f>
        <v>200</v>
      </c>
      <c r="J93" s="66">
        <f>J94</f>
        <v>200</v>
      </c>
      <c r="K93" s="45">
        <f t="shared" si="46"/>
        <v>0</v>
      </c>
      <c r="L93" s="83">
        <f>L94</f>
        <v>300</v>
      </c>
      <c r="M93" s="84">
        <f>M94</f>
        <v>443.68899999999996</v>
      </c>
      <c r="N93" s="84">
        <f>N94</f>
        <v>443.68899999999996</v>
      </c>
      <c r="O93" s="124">
        <f t="shared" si="0"/>
        <v>143.68899999999996</v>
      </c>
    </row>
    <row r="94" spans="1:15" ht="46.5" customHeight="1">
      <c r="A94" s="39"/>
      <c r="B94" s="46" t="s">
        <v>142</v>
      </c>
      <c r="C94" s="21">
        <v>703</v>
      </c>
      <c r="D94" s="69" t="s">
        <v>32</v>
      </c>
      <c r="E94" s="69" t="s">
        <v>93</v>
      </c>
      <c r="F94" s="60" t="s">
        <v>143</v>
      </c>
      <c r="G94" s="59" t="s">
        <v>30</v>
      </c>
      <c r="H94" s="65">
        <v>200</v>
      </c>
      <c r="I94" s="65">
        <v>200</v>
      </c>
      <c r="J94" s="66">
        <v>200</v>
      </c>
      <c r="K94" s="45">
        <f t="shared" si="46"/>
        <v>0</v>
      </c>
      <c r="L94" s="83">
        <f>200+100</f>
        <v>300</v>
      </c>
      <c r="M94" s="84">
        <f>200+100+153.679-9.99</f>
        <v>443.68899999999996</v>
      </c>
      <c r="N94" s="84">
        <f>200+100+153.679-9.99</f>
        <v>443.68899999999996</v>
      </c>
      <c r="O94" s="126">
        <f t="shared" si="0"/>
        <v>143.68899999999996</v>
      </c>
    </row>
    <row r="95" spans="1:15" ht="15" customHeight="1" hidden="1">
      <c r="A95" s="39"/>
      <c r="B95" s="74" t="s">
        <v>33</v>
      </c>
      <c r="C95" s="21">
        <v>703</v>
      </c>
      <c r="D95" s="59" t="s">
        <v>32</v>
      </c>
      <c r="E95" s="59" t="s">
        <v>93</v>
      </c>
      <c r="F95" s="60" t="s">
        <v>22</v>
      </c>
      <c r="G95" s="59"/>
      <c r="H95" s="61">
        <f aca="true" t="shared" si="47" ref="H95:H96">H96</f>
        <v>0</v>
      </c>
      <c r="I95" s="61">
        <f aca="true" t="shared" si="48" ref="I95:I96">I96</f>
        <v>0</v>
      </c>
      <c r="J95" s="66">
        <f aca="true" t="shared" si="49" ref="J95:J96">J96</f>
        <v>0</v>
      </c>
      <c r="K95" s="45">
        <f t="shared" si="46"/>
        <v>0</v>
      </c>
      <c r="L95" s="83">
        <f aca="true" t="shared" si="50" ref="L95:L96">L96</f>
        <v>0</v>
      </c>
      <c r="M95" s="84">
        <f aca="true" t="shared" si="51" ref="M95:M96">M96</f>
        <v>0</v>
      </c>
      <c r="N95" s="84">
        <f aca="true" t="shared" si="52" ref="N95:N96">N96</f>
        <v>0</v>
      </c>
      <c r="O95" s="38">
        <f t="shared" si="0"/>
        <v>0</v>
      </c>
    </row>
    <row r="96" spans="1:15" ht="15" customHeight="1" hidden="1">
      <c r="A96" s="39"/>
      <c r="B96" s="74" t="s">
        <v>23</v>
      </c>
      <c r="C96" s="21">
        <v>703</v>
      </c>
      <c r="D96" s="59" t="s">
        <v>32</v>
      </c>
      <c r="E96" s="59" t="s">
        <v>93</v>
      </c>
      <c r="F96" s="60" t="s">
        <v>35</v>
      </c>
      <c r="G96" s="59"/>
      <c r="H96" s="61">
        <f t="shared" si="47"/>
        <v>0</v>
      </c>
      <c r="I96" s="61">
        <f t="shared" si="48"/>
        <v>0</v>
      </c>
      <c r="J96" s="66">
        <f t="shared" si="49"/>
        <v>0</v>
      </c>
      <c r="K96" s="45">
        <f t="shared" si="46"/>
        <v>0</v>
      </c>
      <c r="L96" s="83">
        <f t="shared" si="50"/>
        <v>0</v>
      </c>
      <c r="M96" s="84">
        <f t="shared" si="51"/>
        <v>0</v>
      </c>
      <c r="N96" s="84">
        <f t="shared" si="52"/>
        <v>0</v>
      </c>
      <c r="O96" s="38">
        <f t="shared" si="0"/>
        <v>0</v>
      </c>
    </row>
    <row r="97" spans="1:15" ht="99.75" customHeight="1" hidden="1">
      <c r="A97" s="39"/>
      <c r="B97" s="116" t="s">
        <v>144</v>
      </c>
      <c r="C97" s="21">
        <v>703</v>
      </c>
      <c r="D97" s="59" t="s">
        <v>32</v>
      </c>
      <c r="E97" s="59" t="s">
        <v>93</v>
      </c>
      <c r="F97" s="60" t="s">
        <v>145</v>
      </c>
      <c r="G97" s="59" t="s">
        <v>102</v>
      </c>
      <c r="H97" s="65">
        <v>0</v>
      </c>
      <c r="I97" s="65">
        <v>0</v>
      </c>
      <c r="J97" s="66">
        <v>0</v>
      </c>
      <c r="K97" s="45">
        <f t="shared" si="46"/>
        <v>0</v>
      </c>
      <c r="L97" s="83">
        <v>0</v>
      </c>
      <c r="M97" s="84">
        <v>0</v>
      </c>
      <c r="N97" s="84">
        <v>0</v>
      </c>
      <c r="O97" s="38">
        <f t="shared" si="0"/>
        <v>0</v>
      </c>
    </row>
    <row r="98" spans="1:15" ht="24.75" customHeight="1">
      <c r="A98" s="39"/>
      <c r="B98" s="40" t="s">
        <v>146</v>
      </c>
      <c r="C98" s="21">
        <v>703</v>
      </c>
      <c r="D98" s="76" t="s">
        <v>32</v>
      </c>
      <c r="E98" s="76" t="s">
        <v>147</v>
      </c>
      <c r="F98" s="77"/>
      <c r="G98" s="76"/>
      <c r="H98" s="78">
        <f>H99+H105+H111+H102+H108+H114</f>
        <v>2125.8</v>
      </c>
      <c r="I98" s="78">
        <f>I99+I105+I111+I102+I108+I114</f>
        <v>2125.8</v>
      </c>
      <c r="J98" s="79">
        <f>J99+J105+J111+J102+J108+J114</f>
        <v>2125.8</v>
      </c>
      <c r="K98" s="45">
        <f t="shared" si="46"/>
        <v>0</v>
      </c>
      <c r="L98" s="79">
        <f>L99+L105+L111+L102+L108+L114</f>
        <v>2125.8</v>
      </c>
      <c r="M98" s="80">
        <f>M99+M105+M111+M102+M108+M114</f>
        <v>2110.68511</v>
      </c>
      <c r="N98" s="80">
        <f>N99+N105+N111+N102+N108+N114</f>
        <v>1644.2999999999997</v>
      </c>
      <c r="O98" s="38">
        <f t="shared" si="0"/>
        <v>-15.114890000000287</v>
      </c>
    </row>
    <row r="99" spans="1:15" ht="64.5" customHeight="1">
      <c r="A99" s="39"/>
      <c r="B99" s="74" t="s">
        <v>148</v>
      </c>
      <c r="C99" s="21">
        <v>703</v>
      </c>
      <c r="D99" s="59" t="s">
        <v>32</v>
      </c>
      <c r="E99" s="59" t="s">
        <v>149</v>
      </c>
      <c r="F99" s="60" t="s">
        <v>150</v>
      </c>
      <c r="G99" s="59"/>
      <c r="H99" s="61">
        <f>H101</f>
        <v>100</v>
      </c>
      <c r="I99" s="61">
        <f>I101</f>
        <v>100</v>
      </c>
      <c r="J99" s="66">
        <f>J101</f>
        <v>100</v>
      </c>
      <c r="K99" s="45">
        <f t="shared" si="46"/>
        <v>0</v>
      </c>
      <c r="L99" s="66">
        <f>L101</f>
        <v>100</v>
      </c>
      <c r="M99" s="63">
        <f>M101</f>
        <v>125.62</v>
      </c>
      <c r="N99" s="63">
        <f>N101</f>
        <v>125.6</v>
      </c>
      <c r="O99" s="81">
        <f t="shared" si="0"/>
        <v>25.620000000000005</v>
      </c>
    </row>
    <row r="100" spans="1:15" ht="30.75" customHeight="1">
      <c r="A100" s="39"/>
      <c r="B100" s="74" t="s">
        <v>151</v>
      </c>
      <c r="C100" s="21">
        <v>703</v>
      </c>
      <c r="D100" s="59" t="s">
        <v>32</v>
      </c>
      <c r="E100" s="59" t="s">
        <v>147</v>
      </c>
      <c r="F100" s="60" t="s">
        <v>152</v>
      </c>
      <c r="G100" s="59"/>
      <c r="H100" s="61">
        <f>H101</f>
        <v>100</v>
      </c>
      <c r="I100" s="61">
        <f>I101</f>
        <v>100</v>
      </c>
      <c r="J100" s="66">
        <f>J101</f>
        <v>100</v>
      </c>
      <c r="K100" s="45">
        <f t="shared" si="46"/>
        <v>0</v>
      </c>
      <c r="L100" s="66">
        <f>L101</f>
        <v>100</v>
      </c>
      <c r="M100" s="63">
        <f>M101</f>
        <v>125.62</v>
      </c>
      <c r="N100" s="63">
        <f>N101</f>
        <v>125.6</v>
      </c>
      <c r="O100" s="81">
        <f t="shared" si="0"/>
        <v>25.620000000000005</v>
      </c>
    </row>
    <row r="101" spans="1:15" ht="36.75" customHeight="1">
      <c r="A101" s="39"/>
      <c r="B101" s="74" t="s">
        <v>153</v>
      </c>
      <c r="C101" s="21">
        <v>703</v>
      </c>
      <c r="D101" s="59" t="s">
        <v>32</v>
      </c>
      <c r="E101" s="59" t="s">
        <v>147</v>
      </c>
      <c r="F101" s="60" t="s">
        <v>154</v>
      </c>
      <c r="G101" s="59" t="s">
        <v>30</v>
      </c>
      <c r="H101" s="65">
        <v>100</v>
      </c>
      <c r="I101" s="65">
        <v>100</v>
      </c>
      <c r="J101" s="66">
        <v>100</v>
      </c>
      <c r="K101" s="45">
        <f t="shared" si="46"/>
        <v>0</v>
      </c>
      <c r="L101" s="66">
        <v>100</v>
      </c>
      <c r="M101" s="63">
        <f>100+33-7.38</f>
        <v>125.62</v>
      </c>
      <c r="N101" s="63">
        <v>125.6</v>
      </c>
      <c r="O101" s="85">
        <f t="shared" si="0"/>
        <v>25.620000000000005</v>
      </c>
    </row>
    <row r="102" spans="1:15" ht="73.5" customHeight="1">
      <c r="A102" s="39"/>
      <c r="B102" s="74" t="s">
        <v>155</v>
      </c>
      <c r="C102" s="21">
        <v>703</v>
      </c>
      <c r="D102" s="59" t="s">
        <v>32</v>
      </c>
      <c r="E102" s="59" t="s">
        <v>147</v>
      </c>
      <c r="F102" s="103" t="s">
        <v>93</v>
      </c>
      <c r="G102" s="125"/>
      <c r="H102" s="61">
        <f>H104</f>
        <v>100</v>
      </c>
      <c r="I102" s="61">
        <f>I104</f>
        <v>100</v>
      </c>
      <c r="J102" s="66">
        <f>J104</f>
        <v>100</v>
      </c>
      <c r="K102" s="45">
        <f t="shared" si="46"/>
        <v>0</v>
      </c>
      <c r="L102" s="66">
        <f>L104</f>
        <v>100</v>
      </c>
      <c r="M102" s="63">
        <f>M104</f>
        <v>58</v>
      </c>
      <c r="N102" s="63">
        <f>N104</f>
        <v>58</v>
      </c>
      <c r="O102" s="81">
        <f t="shared" si="0"/>
        <v>-42</v>
      </c>
    </row>
    <row r="103" spans="1:15" ht="30.75" customHeight="1">
      <c r="A103" s="39"/>
      <c r="B103" s="74" t="s">
        <v>156</v>
      </c>
      <c r="C103" s="21">
        <v>703</v>
      </c>
      <c r="D103" s="59" t="s">
        <v>32</v>
      </c>
      <c r="E103" s="59" t="s">
        <v>147</v>
      </c>
      <c r="F103" s="103" t="s">
        <v>157</v>
      </c>
      <c r="G103" s="125"/>
      <c r="H103" s="61">
        <f>H104</f>
        <v>100</v>
      </c>
      <c r="I103" s="61">
        <f>I104</f>
        <v>100</v>
      </c>
      <c r="J103" s="66">
        <f>J104</f>
        <v>100</v>
      </c>
      <c r="K103" s="45">
        <f t="shared" si="46"/>
        <v>0</v>
      </c>
      <c r="L103" s="66">
        <f>L104</f>
        <v>100</v>
      </c>
      <c r="M103" s="63">
        <f>M104</f>
        <v>58</v>
      </c>
      <c r="N103" s="63">
        <f>N104</f>
        <v>58</v>
      </c>
      <c r="O103" s="81">
        <f t="shared" si="0"/>
        <v>-42</v>
      </c>
    </row>
    <row r="104" spans="1:15" ht="40.5" customHeight="1">
      <c r="A104" s="39"/>
      <c r="B104" s="74" t="s">
        <v>153</v>
      </c>
      <c r="C104" s="21">
        <v>703</v>
      </c>
      <c r="D104" s="59" t="s">
        <v>32</v>
      </c>
      <c r="E104" s="59" t="s">
        <v>147</v>
      </c>
      <c r="F104" s="103" t="s">
        <v>158</v>
      </c>
      <c r="G104" s="125" t="s">
        <v>30</v>
      </c>
      <c r="H104" s="65">
        <v>100</v>
      </c>
      <c r="I104" s="65">
        <v>100</v>
      </c>
      <c r="J104" s="66">
        <v>100</v>
      </c>
      <c r="K104" s="45">
        <f t="shared" si="46"/>
        <v>0</v>
      </c>
      <c r="L104" s="66">
        <v>100</v>
      </c>
      <c r="M104" s="63">
        <f>100-33-9</f>
        <v>58</v>
      </c>
      <c r="N104" s="63">
        <f>100-33-9</f>
        <v>58</v>
      </c>
      <c r="O104" s="85">
        <f t="shared" si="0"/>
        <v>-42</v>
      </c>
    </row>
    <row r="105" spans="1:15" ht="102" customHeight="1">
      <c r="A105" s="39"/>
      <c r="B105" s="74" t="s">
        <v>159</v>
      </c>
      <c r="C105" s="21">
        <v>703</v>
      </c>
      <c r="D105" s="59" t="s">
        <v>32</v>
      </c>
      <c r="E105" s="59" t="s">
        <v>147</v>
      </c>
      <c r="F105" s="60" t="s">
        <v>160</v>
      </c>
      <c r="G105" s="59"/>
      <c r="H105" s="61">
        <f>H107</f>
        <v>60</v>
      </c>
      <c r="I105" s="61">
        <f>I107</f>
        <v>60</v>
      </c>
      <c r="J105" s="66">
        <f>J107</f>
        <v>60</v>
      </c>
      <c r="K105" s="45">
        <f t="shared" si="46"/>
        <v>0</v>
      </c>
      <c r="L105" s="66">
        <f>L107</f>
        <v>60</v>
      </c>
      <c r="M105" s="63">
        <f>M107</f>
        <v>54</v>
      </c>
      <c r="N105" s="63">
        <f>N107</f>
        <v>54</v>
      </c>
      <c r="O105" s="81">
        <f t="shared" si="0"/>
        <v>-6</v>
      </c>
    </row>
    <row r="106" spans="1:15" ht="30.75" customHeight="1">
      <c r="A106" s="39"/>
      <c r="B106" s="74" t="s">
        <v>161</v>
      </c>
      <c r="C106" s="21">
        <v>703</v>
      </c>
      <c r="D106" s="59" t="s">
        <v>32</v>
      </c>
      <c r="E106" s="59" t="s">
        <v>147</v>
      </c>
      <c r="F106" s="60" t="s">
        <v>162</v>
      </c>
      <c r="G106" s="59"/>
      <c r="H106" s="61">
        <f>H107</f>
        <v>60</v>
      </c>
      <c r="I106" s="61">
        <f>I107</f>
        <v>60</v>
      </c>
      <c r="J106" s="66">
        <f>J107</f>
        <v>60</v>
      </c>
      <c r="K106" s="45">
        <f t="shared" si="46"/>
        <v>0</v>
      </c>
      <c r="L106" s="66">
        <f>L107</f>
        <v>60</v>
      </c>
      <c r="M106" s="63">
        <f>M107</f>
        <v>54</v>
      </c>
      <c r="N106" s="63">
        <f>N107</f>
        <v>54</v>
      </c>
      <c r="O106" s="81">
        <f t="shared" si="0"/>
        <v>-6</v>
      </c>
    </row>
    <row r="107" spans="1:15" ht="36" customHeight="1">
      <c r="A107" s="39"/>
      <c r="B107" s="74" t="s">
        <v>45</v>
      </c>
      <c r="C107" s="21">
        <v>703</v>
      </c>
      <c r="D107" s="59" t="s">
        <v>32</v>
      </c>
      <c r="E107" s="59" t="s">
        <v>147</v>
      </c>
      <c r="F107" s="60" t="s">
        <v>163</v>
      </c>
      <c r="G107" s="59" t="s">
        <v>30</v>
      </c>
      <c r="H107" s="65">
        <v>60</v>
      </c>
      <c r="I107" s="65">
        <v>60</v>
      </c>
      <c r="J107" s="66">
        <v>60</v>
      </c>
      <c r="K107" s="45">
        <f t="shared" si="46"/>
        <v>0</v>
      </c>
      <c r="L107" s="66">
        <v>60</v>
      </c>
      <c r="M107" s="63">
        <f>60-6</f>
        <v>54</v>
      </c>
      <c r="N107" s="63">
        <f>60-6</f>
        <v>54</v>
      </c>
      <c r="O107" s="85">
        <f t="shared" si="0"/>
        <v>-6</v>
      </c>
    </row>
    <row r="108" spans="1:15" ht="51" customHeight="1">
      <c r="A108" s="39"/>
      <c r="B108" s="74" t="s">
        <v>164</v>
      </c>
      <c r="C108" s="21">
        <v>703</v>
      </c>
      <c r="D108" s="59" t="s">
        <v>32</v>
      </c>
      <c r="E108" s="59" t="s">
        <v>147</v>
      </c>
      <c r="F108" s="60" t="s">
        <v>48</v>
      </c>
      <c r="G108" s="59"/>
      <c r="H108" s="65">
        <f aca="true" t="shared" si="53" ref="H108:H109">H109</f>
        <v>10</v>
      </c>
      <c r="I108" s="65">
        <f aca="true" t="shared" si="54" ref="I108:I109">I109</f>
        <v>10</v>
      </c>
      <c r="J108" s="66">
        <f aca="true" t="shared" si="55" ref="J108:J109">J109</f>
        <v>10</v>
      </c>
      <c r="K108" s="45">
        <f t="shared" si="46"/>
        <v>0</v>
      </c>
      <c r="L108" s="66">
        <f aca="true" t="shared" si="56" ref="L108:L109">L109</f>
        <v>10</v>
      </c>
      <c r="M108" s="63">
        <f aca="true" t="shared" si="57" ref="M108:M109">M109</f>
        <v>7</v>
      </c>
      <c r="N108" s="63">
        <f aca="true" t="shared" si="58" ref="N108:N109">N109</f>
        <v>7</v>
      </c>
      <c r="O108" s="81">
        <f t="shared" si="0"/>
        <v>-3</v>
      </c>
    </row>
    <row r="109" spans="1:15" ht="38.25" customHeight="1">
      <c r="A109" s="39"/>
      <c r="B109" s="74" t="s">
        <v>165</v>
      </c>
      <c r="C109" s="21">
        <v>703</v>
      </c>
      <c r="D109" s="59" t="s">
        <v>32</v>
      </c>
      <c r="E109" s="59" t="s">
        <v>147</v>
      </c>
      <c r="F109" s="60" t="s">
        <v>166</v>
      </c>
      <c r="G109" s="59"/>
      <c r="H109" s="65">
        <f t="shared" si="53"/>
        <v>10</v>
      </c>
      <c r="I109" s="65">
        <f t="shared" si="54"/>
        <v>10</v>
      </c>
      <c r="J109" s="66">
        <f t="shared" si="55"/>
        <v>10</v>
      </c>
      <c r="K109" s="45">
        <f t="shared" si="46"/>
        <v>0</v>
      </c>
      <c r="L109" s="66">
        <f t="shared" si="56"/>
        <v>10</v>
      </c>
      <c r="M109" s="63">
        <f t="shared" si="57"/>
        <v>7</v>
      </c>
      <c r="N109" s="63">
        <f t="shared" si="58"/>
        <v>7</v>
      </c>
      <c r="O109" s="81">
        <f t="shared" si="0"/>
        <v>-3</v>
      </c>
    </row>
    <row r="110" spans="1:15" ht="38.25" customHeight="1">
      <c r="A110" s="39"/>
      <c r="B110" s="74" t="s">
        <v>45</v>
      </c>
      <c r="C110" s="21">
        <v>703</v>
      </c>
      <c r="D110" s="59" t="s">
        <v>32</v>
      </c>
      <c r="E110" s="59" t="s">
        <v>147</v>
      </c>
      <c r="F110" s="60" t="s">
        <v>167</v>
      </c>
      <c r="G110" s="59" t="s">
        <v>30</v>
      </c>
      <c r="H110" s="65">
        <v>10</v>
      </c>
      <c r="I110" s="65">
        <v>10</v>
      </c>
      <c r="J110" s="66">
        <v>10</v>
      </c>
      <c r="K110" s="45">
        <f t="shared" si="46"/>
        <v>0</v>
      </c>
      <c r="L110" s="66">
        <v>10</v>
      </c>
      <c r="M110" s="63">
        <f>10-3</f>
        <v>7</v>
      </c>
      <c r="N110" s="63">
        <f>10-3</f>
        <v>7</v>
      </c>
      <c r="O110" s="85">
        <f t="shared" si="0"/>
        <v>-3</v>
      </c>
    </row>
    <row r="111" spans="1:15" ht="78" customHeight="1">
      <c r="A111" s="39"/>
      <c r="B111" s="74" t="s">
        <v>59</v>
      </c>
      <c r="C111" s="21">
        <v>703</v>
      </c>
      <c r="D111" s="59" t="s">
        <v>32</v>
      </c>
      <c r="E111" s="59" t="s">
        <v>147</v>
      </c>
      <c r="F111" s="60" t="s">
        <v>60</v>
      </c>
      <c r="G111" s="59"/>
      <c r="H111" s="61">
        <f>H113</f>
        <v>1015.8</v>
      </c>
      <c r="I111" s="61">
        <f>I113</f>
        <v>1015.8</v>
      </c>
      <c r="J111" s="66">
        <f>J113</f>
        <v>1015.8</v>
      </c>
      <c r="K111" s="45">
        <f t="shared" si="46"/>
        <v>0</v>
      </c>
      <c r="L111" s="66">
        <f>L113</f>
        <v>1015.8</v>
      </c>
      <c r="M111" s="63">
        <f>M113</f>
        <v>1026.06511</v>
      </c>
      <c r="N111" s="63">
        <f>N113</f>
        <v>1026.1</v>
      </c>
      <c r="O111" s="38">
        <f t="shared" si="0"/>
        <v>10.26511000000005</v>
      </c>
    </row>
    <row r="112" spans="1:15" ht="37.5" customHeight="1">
      <c r="A112" s="39"/>
      <c r="B112" s="52" t="s">
        <v>168</v>
      </c>
      <c r="C112" s="21">
        <v>703</v>
      </c>
      <c r="D112" s="59" t="s">
        <v>32</v>
      </c>
      <c r="E112" s="59" t="s">
        <v>147</v>
      </c>
      <c r="F112" s="60" t="s">
        <v>62</v>
      </c>
      <c r="G112" s="59"/>
      <c r="H112" s="61">
        <f>H113</f>
        <v>1015.8</v>
      </c>
      <c r="I112" s="61">
        <f>I113</f>
        <v>1015.8</v>
      </c>
      <c r="J112" s="66">
        <f>J113</f>
        <v>1015.8</v>
      </c>
      <c r="K112" s="45">
        <f t="shared" si="46"/>
        <v>0</v>
      </c>
      <c r="L112" s="66">
        <f>L113</f>
        <v>1015.8</v>
      </c>
      <c r="M112" s="63">
        <f>M113</f>
        <v>1026.06511</v>
      </c>
      <c r="N112" s="63">
        <f>N113</f>
        <v>1026.1</v>
      </c>
      <c r="O112" s="38">
        <f t="shared" si="0"/>
        <v>10.26511000000005</v>
      </c>
    </row>
    <row r="113" spans="1:15" ht="104.25" customHeight="1">
      <c r="A113" s="39"/>
      <c r="B113" s="53" t="s">
        <v>63</v>
      </c>
      <c r="C113" s="21">
        <v>703</v>
      </c>
      <c r="D113" s="69" t="s">
        <v>32</v>
      </c>
      <c r="E113" s="69" t="s">
        <v>147</v>
      </c>
      <c r="F113" s="70" t="s">
        <v>64</v>
      </c>
      <c r="G113" s="69" t="s">
        <v>27</v>
      </c>
      <c r="H113" s="71">
        <v>1015.8</v>
      </c>
      <c r="I113" s="71">
        <v>1015.8</v>
      </c>
      <c r="J113" s="134">
        <v>1015.8</v>
      </c>
      <c r="K113" s="45">
        <f t="shared" si="46"/>
        <v>0</v>
      </c>
      <c r="L113" s="134">
        <v>1015.8</v>
      </c>
      <c r="M113" s="73">
        <f>1015.8+7.88411+2.381</f>
        <v>1026.06511</v>
      </c>
      <c r="N113" s="73">
        <v>1026.1</v>
      </c>
      <c r="O113" s="38">
        <f t="shared" si="0"/>
        <v>10.26511000000005</v>
      </c>
    </row>
    <row r="114" spans="1:15" ht="40.5" customHeight="1">
      <c r="A114" s="39"/>
      <c r="B114" s="74" t="s">
        <v>169</v>
      </c>
      <c r="C114" s="21">
        <v>703</v>
      </c>
      <c r="D114" s="135" t="s">
        <v>32</v>
      </c>
      <c r="E114" s="118" t="s">
        <v>147</v>
      </c>
      <c r="F114" s="106" t="s">
        <v>170</v>
      </c>
      <c r="G114" s="118"/>
      <c r="H114" s="132">
        <f>H115</f>
        <v>840</v>
      </c>
      <c r="I114" s="132">
        <f>I115</f>
        <v>840</v>
      </c>
      <c r="J114" s="83">
        <f>J115</f>
        <v>840</v>
      </c>
      <c r="K114" s="45">
        <f t="shared" si="46"/>
        <v>0</v>
      </c>
      <c r="L114" s="83">
        <f aca="true" t="shared" si="59" ref="L114:L115">L115</f>
        <v>840</v>
      </c>
      <c r="M114" s="84">
        <f aca="true" t="shared" si="60" ref="M114:M115">M115</f>
        <v>840</v>
      </c>
      <c r="N114" s="84">
        <f aca="true" t="shared" si="61" ref="N114:N115">N115</f>
        <v>373.6</v>
      </c>
      <c r="O114" s="38">
        <f t="shared" si="0"/>
        <v>0</v>
      </c>
    </row>
    <row r="115" spans="1:15" ht="46.5" customHeight="1">
      <c r="A115" s="39"/>
      <c r="B115" s="89" t="s">
        <v>171</v>
      </c>
      <c r="C115" s="21">
        <v>703</v>
      </c>
      <c r="D115" s="118" t="s">
        <v>32</v>
      </c>
      <c r="E115" s="118" t="s">
        <v>147</v>
      </c>
      <c r="F115" s="106" t="s">
        <v>172</v>
      </c>
      <c r="G115" s="118"/>
      <c r="H115" s="132">
        <f>H116+H118</f>
        <v>840</v>
      </c>
      <c r="I115" s="132">
        <f>I116+I118</f>
        <v>840</v>
      </c>
      <c r="J115" s="83">
        <f>J116+J118</f>
        <v>840</v>
      </c>
      <c r="K115" s="45">
        <f t="shared" si="46"/>
        <v>0</v>
      </c>
      <c r="L115" s="83">
        <f t="shared" si="59"/>
        <v>840</v>
      </c>
      <c r="M115" s="84">
        <f t="shared" si="60"/>
        <v>840</v>
      </c>
      <c r="N115" s="84">
        <f t="shared" si="61"/>
        <v>373.6</v>
      </c>
      <c r="O115" s="38">
        <f t="shared" si="0"/>
        <v>0</v>
      </c>
    </row>
    <row r="116" spans="1:15" ht="44.25" customHeight="1">
      <c r="A116" s="39"/>
      <c r="B116" s="52" t="s">
        <v>173</v>
      </c>
      <c r="C116" s="21">
        <v>703</v>
      </c>
      <c r="D116" s="118" t="s">
        <v>32</v>
      </c>
      <c r="E116" s="118" t="s">
        <v>147</v>
      </c>
      <c r="F116" s="106" t="s">
        <v>174</v>
      </c>
      <c r="G116" s="118"/>
      <c r="H116" s="132">
        <f>504</f>
        <v>504</v>
      </c>
      <c r="I116" s="132">
        <f>I117</f>
        <v>504</v>
      </c>
      <c r="J116" s="83">
        <f>J117</f>
        <v>504</v>
      </c>
      <c r="K116" s="45">
        <f t="shared" si="46"/>
        <v>0</v>
      </c>
      <c r="L116" s="83">
        <f>L117+L118</f>
        <v>840</v>
      </c>
      <c r="M116" s="84">
        <f>M117+M118</f>
        <v>840</v>
      </c>
      <c r="N116" s="84">
        <v>373.6</v>
      </c>
      <c r="O116" s="38">
        <f t="shared" si="0"/>
        <v>0</v>
      </c>
    </row>
    <row r="117" spans="1:15" ht="44.25" customHeight="1" hidden="1">
      <c r="A117" s="39"/>
      <c r="B117" s="52" t="s">
        <v>175</v>
      </c>
      <c r="C117" s="21">
        <v>703</v>
      </c>
      <c r="D117" s="118" t="s">
        <v>32</v>
      </c>
      <c r="E117" s="118" t="s">
        <v>147</v>
      </c>
      <c r="F117" s="106" t="s">
        <v>176</v>
      </c>
      <c r="G117" s="118" t="s">
        <v>30</v>
      </c>
      <c r="H117" s="132">
        <v>504</v>
      </c>
      <c r="I117" s="132">
        <v>504</v>
      </c>
      <c r="J117" s="83">
        <v>504</v>
      </c>
      <c r="K117" s="45">
        <f t="shared" si="46"/>
        <v>0</v>
      </c>
      <c r="L117" s="83">
        <v>504</v>
      </c>
      <c r="M117" s="84">
        <v>504</v>
      </c>
      <c r="N117" s="84">
        <v>0</v>
      </c>
      <c r="O117" s="38">
        <f t="shared" si="0"/>
        <v>0</v>
      </c>
    </row>
    <row r="118" spans="1:15" ht="48" customHeight="1" hidden="1">
      <c r="A118" s="39"/>
      <c r="B118" s="52" t="s">
        <v>175</v>
      </c>
      <c r="C118" s="21">
        <v>703</v>
      </c>
      <c r="D118" s="118" t="s">
        <v>32</v>
      </c>
      <c r="E118" s="118" t="s">
        <v>147</v>
      </c>
      <c r="F118" s="106" t="s">
        <v>177</v>
      </c>
      <c r="G118" s="118" t="s">
        <v>30</v>
      </c>
      <c r="H118" s="132">
        <f>336</f>
        <v>336</v>
      </c>
      <c r="I118" s="132">
        <f>336</f>
        <v>336</v>
      </c>
      <c r="J118" s="83">
        <f>336</f>
        <v>336</v>
      </c>
      <c r="K118" s="45">
        <f t="shared" si="46"/>
        <v>0</v>
      </c>
      <c r="L118" s="83">
        <f>336</f>
        <v>336</v>
      </c>
      <c r="M118" s="84">
        <f>336</f>
        <v>336</v>
      </c>
      <c r="N118" s="84">
        <v>0</v>
      </c>
      <c r="O118" s="38">
        <f t="shared" si="0"/>
        <v>0</v>
      </c>
    </row>
    <row r="119" spans="1:15" ht="48" customHeight="1">
      <c r="A119" s="39"/>
      <c r="B119" s="52" t="s">
        <v>175</v>
      </c>
      <c r="C119" s="21">
        <v>703</v>
      </c>
      <c r="D119" s="118" t="s">
        <v>32</v>
      </c>
      <c r="E119" s="118" t="s">
        <v>147</v>
      </c>
      <c r="F119" s="106" t="s">
        <v>178</v>
      </c>
      <c r="G119" s="118" t="s">
        <v>30</v>
      </c>
      <c r="H119" s="132"/>
      <c r="I119" s="132"/>
      <c r="J119" s="83"/>
      <c r="K119" s="45"/>
      <c r="L119" s="83">
        <f>840</f>
        <v>840</v>
      </c>
      <c r="M119" s="84">
        <f>840</f>
        <v>840</v>
      </c>
      <c r="N119" s="84">
        <v>373.6</v>
      </c>
      <c r="O119" s="38">
        <f t="shared" si="0"/>
        <v>0</v>
      </c>
    </row>
    <row r="120" spans="1:15" ht="16.5">
      <c r="A120" s="39"/>
      <c r="B120" s="40" t="s">
        <v>179</v>
      </c>
      <c r="C120" s="21">
        <v>703</v>
      </c>
      <c r="D120" s="76" t="s">
        <v>115</v>
      </c>
      <c r="E120" s="76"/>
      <c r="F120" s="60"/>
      <c r="G120" s="59"/>
      <c r="H120" s="78">
        <f>H121+H149+H180+H141</f>
        <v>11018.4</v>
      </c>
      <c r="I120" s="78">
        <f>I121+I149+I180+I141</f>
        <v>13794.4</v>
      </c>
      <c r="J120" s="87">
        <f>J121+J149+J180+J141</f>
        <v>20647.87261</v>
      </c>
      <c r="K120" s="36">
        <f>J120-I120+8</f>
        <v>6861.472609999999</v>
      </c>
      <c r="L120" s="87">
        <f>L121+L149+L180+L141</f>
        <v>78410.35217</v>
      </c>
      <c r="M120" s="80">
        <f>M121+M149+M180+M141</f>
        <v>77066.74106</v>
      </c>
      <c r="N120" s="80">
        <f>N121+N149+N180+N141</f>
        <v>71782.24999999999</v>
      </c>
      <c r="O120" s="38">
        <f t="shared" si="0"/>
        <v>-1343.611109999998</v>
      </c>
    </row>
    <row r="121" spans="1:15" ht="15" customHeight="1">
      <c r="A121" s="39"/>
      <c r="B121" s="40" t="s">
        <v>180</v>
      </c>
      <c r="C121" s="21">
        <v>703</v>
      </c>
      <c r="D121" s="76" t="s">
        <v>115</v>
      </c>
      <c r="E121" s="76" t="s">
        <v>18</v>
      </c>
      <c r="F121" s="77"/>
      <c r="G121" s="76"/>
      <c r="H121" s="136">
        <f>H136+H122</f>
        <v>1007</v>
      </c>
      <c r="I121" s="136">
        <f>I136+I122</f>
        <v>2007</v>
      </c>
      <c r="J121" s="87">
        <f>J136+J122</f>
        <v>1957</v>
      </c>
      <c r="K121" s="36">
        <f aca="true" t="shared" si="62" ref="K121:K124">J121-I121</f>
        <v>-50</v>
      </c>
      <c r="L121" s="87">
        <f>L136+L122+L133</f>
        <v>58923.68558</v>
      </c>
      <c r="M121" s="80">
        <f>M136+M122+M133</f>
        <v>59221.060710000005</v>
      </c>
      <c r="N121" s="80">
        <f>N136+N122+N133</f>
        <v>56418.25</v>
      </c>
      <c r="O121" s="38">
        <f t="shared" si="0"/>
        <v>297.37513000000763</v>
      </c>
    </row>
    <row r="122" spans="1:15" ht="56.25" customHeight="1">
      <c r="A122" s="39"/>
      <c r="B122" s="74" t="s">
        <v>181</v>
      </c>
      <c r="C122" s="21">
        <v>703</v>
      </c>
      <c r="D122" s="118" t="s">
        <v>115</v>
      </c>
      <c r="E122" s="118" t="s">
        <v>18</v>
      </c>
      <c r="F122" s="106" t="s">
        <v>147</v>
      </c>
      <c r="G122" s="59"/>
      <c r="H122" s="65">
        <f aca="true" t="shared" si="63" ref="H122:H123">H123</f>
        <v>100</v>
      </c>
      <c r="I122" s="65">
        <f aca="true" t="shared" si="64" ref="I122:I123">I123</f>
        <v>1100</v>
      </c>
      <c r="J122" s="66">
        <f aca="true" t="shared" si="65" ref="J122:J123">J123</f>
        <v>1050</v>
      </c>
      <c r="K122" s="45">
        <f t="shared" si="62"/>
        <v>-50</v>
      </c>
      <c r="L122" s="129">
        <f>L123+L128+L129+L130+L131+L132</f>
        <v>57850.135579999995</v>
      </c>
      <c r="M122" s="63">
        <f>M123+M128+M129+M130+M131+M132</f>
        <v>58246.810710000005</v>
      </c>
      <c r="N122" s="63">
        <f>N123+N128+N129+N130+N131+N132</f>
        <v>55444</v>
      </c>
      <c r="O122" s="38">
        <f t="shared" si="0"/>
        <v>396.67513000001054</v>
      </c>
    </row>
    <row r="123" spans="1:15" ht="29.25" customHeight="1">
      <c r="A123" s="39"/>
      <c r="B123" s="74" t="s">
        <v>182</v>
      </c>
      <c r="C123" s="21">
        <v>703</v>
      </c>
      <c r="D123" s="118" t="s">
        <v>115</v>
      </c>
      <c r="E123" s="118" t="s">
        <v>18</v>
      </c>
      <c r="F123" s="106" t="s">
        <v>183</v>
      </c>
      <c r="G123" s="59"/>
      <c r="H123" s="65">
        <f t="shared" si="63"/>
        <v>100</v>
      </c>
      <c r="I123" s="65">
        <f t="shared" si="64"/>
        <v>1100</v>
      </c>
      <c r="J123" s="66">
        <f t="shared" si="65"/>
        <v>1050</v>
      </c>
      <c r="K123" s="45">
        <f t="shared" si="62"/>
        <v>-50</v>
      </c>
      <c r="L123" s="129">
        <f>L124+L125+L126+L127</f>
        <v>11393.23446</v>
      </c>
      <c r="M123" s="63">
        <f>M124+M125+M126+M127</f>
        <v>11511.300000000001</v>
      </c>
      <c r="N123" s="63">
        <f>N124+N125+N126+N127</f>
        <v>11310.9</v>
      </c>
      <c r="O123" s="38">
        <f t="shared" si="0"/>
        <v>118.06554000000142</v>
      </c>
    </row>
    <row r="124" spans="1:15" ht="45" customHeight="1">
      <c r="A124" s="39"/>
      <c r="B124" s="116" t="s">
        <v>184</v>
      </c>
      <c r="C124" s="21">
        <v>703</v>
      </c>
      <c r="D124" s="118" t="s">
        <v>115</v>
      </c>
      <c r="E124" s="118" t="s">
        <v>18</v>
      </c>
      <c r="F124" s="106" t="s">
        <v>185</v>
      </c>
      <c r="G124" s="118" t="s">
        <v>79</v>
      </c>
      <c r="H124" s="132">
        <f>1400-300-1000</f>
        <v>100</v>
      </c>
      <c r="I124" s="132">
        <f>1400-300-1000+1000</f>
        <v>1100</v>
      </c>
      <c r="J124" s="83">
        <f>1400-300-1000+1000-50</f>
        <v>1050</v>
      </c>
      <c r="K124" s="45">
        <f t="shared" si="62"/>
        <v>-50</v>
      </c>
      <c r="L124" s="97">
        <f>1400-300-1000+1000-50+502.15645-50-20+331.74702-16.55+3264.7</f>
        <v>5062.05347</v>
      </c>
      <c r="M124" s="84">
        <v>5199.4</v>
      </c>
      <c r="N124" s="84">
        <v>4999</v>
      </c>
      <c r="O124" s="100">
        <f t="shared" si="0"/>
        <v>137.3465299999998</v>
      </c>
    </row>
    <row r="125" spans="1:15" ht="33.75" customHeight="1">
      <c r="A125" s="39"/>
      <c r="B125" s="116" t="s">
        <v>186</v>
      </c>
      <c r="C125" s="21">
        <v>703</v>
      </c>
      <c r="D125" s="118" t="s">
        <v>115</v>
      </c>
      <c r="E125" s="118" t="s">
        <v>18</v>
      </c>
      <c r="F125" s="106" t="s">
        <v>185</v>
      </c>
      <c r="G125" s="118" t="s">
        <v>30</v>
      </c>
      <c r="H125" s="132"/>
      <c r="I125" s="132"/>
      <c r="J125" s="83"/>
      <c r="K125" s="45"/>
      <c r="L125" s="97">
        <v>20</v>
      </c>
      <c r="M125" s="84">
        <v>19.2</v>
      </c>
      <c r="N125" s="84">
        <v>19.2</v>
      </c>
      <c r="O125" s="100">
        <f t="shared" si="0"/>
        <v>-0.8000000000000007</v>
      </c>
    </row>
    <row r="126" spans="1:15" ht="96.75" customHeight="1">
      <c r="A126" s="39"/>
      <c r="B126" s="116" t="s">
        <v>187</v>
      </c>
      <c r="C126" s="21">
        <v>703</v>
      </c>
      <c r="D126" s="118" t="s">
        <v>115</v>
      </c>
      <c r="E126" s="118" t="s">
        <v>18</v>
      </c>
      <c r="F126" s="106" t="s">
        <v>188</v>
      </c>
      <c r="G126" s="118" t="s">
        <v>79</v>
      </c>
      <c r="H126" s="132"/>
      <c r="I126" s="132"/>
      <c r="J126" s="83"/>
      <c r="K126" s="45"/>
      <c r="L126" s="97">
        <f>5995.62194</f>
        <v>5995.62194</v>
      </c>
      <c r="M126" s="84">
        <v>5978.1</v>
      </c>
      <c r="N126" s="84">
        <v>5978.1</v>
      </c>
      <c r="O126" s="38">
        <f t="shared" si="0"/>
        <v>-17.52193999999963</v>
      </c>
    </row>
    <row r="127" spans="1:15" ht="94.5" customHeight="1">
      <c r="A127" s="39"/>
      <c r="B127" s="116" t="s">
        <v>189</v>
      </c>
      <c r="C127" s="21">
        <v>703</v>
      </c>
      <c r="D127" s="118" t="s">
        <v>115</v>
      </c>
      <c r="E127" s="118" t="s">
        <v>18</v>
      </c>
      <c r="F127" s="106" t="s">
        <v>190</v>
      </c>
      <c r="G127" s="118" t="s">
        <v>79</v>
      </c>
      <c r="H127" s="132"/>
      <c r="I127" s="132"/>
      <c r="J127" s="83"/>
      <c r="K127" s="45"/>
      <c r="L127" s="97">
        <f>315.55905</f>
        <v>315.55905</v>
      </c>
      <c r="M127" s="84">
        <v>314.6</v>
      </c>
      <c r="N127" s="84">
        <v>314.6</v>
      </c>
      <c r="O127" s="38">
        <f t="shared" si="0"/>
        <v>-0.9590499999999906</v>
      </c>
    </row>
    <row r="128" spans="1:15" ht="72.75" customHeight="1" hidden="1">
      <c r="A128" s="39"/>
      <c r="B128" s="74" t="s">
        <v>191</v>
      </c>
      <c r="C128" s="21">
        <v>703</v>
      </c>
      <c r="D128" s="118" t="s">
        <v>115</v>
      </c>
      <c r="E128" s="118" t="s">
        <v>18</v>
      </c>
      <c r="F128" s="106" t="s">
        <v>192</v>
      </c>
      <c r="G128" s="118" t="s">
        <v>79</v>
      </c>
      <c r="H128" s="132"/>
      <c r="I128" s="132"/>
      <c r="J128" s="83"/>
      <c r="K128" s="45"/>
      <c r="L128" s="97">
        <f>45527.7631-45527.7631</f>
        <v>0</v>
      </c>
      <c r="M128" s="84">
        <f>45527.7631-45527.7631</f>
        <v>0</v>
      </c>
      <c r="N128" s="84">
        <f>45527.7631-45527.7631</f>
        <v>0</v>
      </c>
      <c r="O128" s="38">
        <f t="shared" si="0"/>
        <v>0</v>
      </c>
    </row>
    <row r="129" spans="1:15" ht="74.25" customHeight="1">
      <c r="A129" s="39"/>
      <c r="B129" s="74" t="s">
        <v>191</v>
      </c>
      <c r="C129" s="21">
        <v>703</v>
      </c>
      <c r="D129" s="118" t="s">
        <v>115</v>
      </c>
      <c r="E129" s="118" t="s">
        <v>18</v>
      </c>
      <c r="F129" s="106" t="s">
        <v>193</v>
      </c>
      <c r="G129" s="118" t="s">
        <v>79</v>
      </c>
      <c r="H129" s="132"/>
      <c r="I129" s="132"/>
      <c r="J129" s="83"/>
      <c r="K129" s="45"/>
      <c r="L129" s="97">
        <f>45527.7631</f>
        <v>45527.7631</v>
      </c>
      <c r="M129" s="84">
        <v>45800.8</v>
      </c>
      <c r="N129" s="84">
        <v>43250.4</v>
      </c>
      <c r="O129" s="38">
        <f t="shared" si="0"/>
        <v>273.0369000000064</v>
      </c>
    </row>
    <row r="130" spans="1:15" ht="51" customHeight="1" hidden="1">
      <c r="A130" s="39"/>
      <c r="B130" s="74" t="s">
        <v>194</v>
      </c>
      <c r="C130" s="21">
        <v>703</v>
      </c>
      <c r="D130" s="118" t="s">
        <v>115</v>
      </c>
      <c r="E130" s="118" t="s">
        <v>18</v>
      </c>
      <c r="F130" s="106" t="s">
        <v>195</v>
      </c>
      <c r="G130" s="118" t="s">
        <v>79</v>
      </c>
      <c r="H130" s="132"/>
      <c r="I130" s="132"/>
      <c r="J130" s="83"/>
      <c r="K130" s="45"/>
      <c r="L130" s="97">
        <f>929.13802-929.13802</f>
        <v>0</v>
      </c>
      <c r="M130" s="84">
        <f>929.13802-929.13802</f>
        <v>0</v>
      </c>
      <c r="N130" s="84">
        <f>929.13802-929.13802</f>
        <v>0</v>
      </c>
      <c r="O130" s="38">
        <f t="shared" si="0"/>
        <v>0</v>
      </c>
    </row>
    <row r="131" spans="1:15" ht="43.5" customHeight="1">
      <c r="A131" s="39"/>
      <c r="B131" s="74" t="s">
        <v>194</v>
      </c>
      <c r="C131" s="21">
        <v>703</v>
      </c>
      <c r="D131" s="118" t="s">
        <v>115</v>
      </c>
      <c r="E131" s="118" t="s">
        <v>18</v>
      </c>
      <c r="F131" s="106" t="s">
        <v>196</v>
      </c>
      <c r="G131" s="118" t="s">
        <v>79</v>
      </c>
      <c r="H131" s="132"/>
      <c r="I131" s="132"/>
      <c r="J131" s="83"/>
      <c r="K131" s="45"/>
      <c r="L131" s="97">
        <v>696.85352</v>
      </c>
      <c r="M131" s="84">
        <f>696.85352+4.17951</f>
        <v>701.03303</v>
      </c>
      <c r="N131" s="84">
        <v>662</v>
      </c>
      <c r="O131" s="38">
        <f t="shared" si="0"/>
        <v>4.17951000000005</v>
      </c>
    </row>
    <row r="132" spans="1:15" ht="51" customHeight="1">
      <c r="A132" s="39"/>
      <c r="B132" s="74" t="s">
        <v>194</v>
      </c>
      <c r="C132" s="21">
        <v>703</v>
      </c>
      <c r="D132" s="118" t="s">
        <v>115</v>
      </c>
      <c r="E132" s="118" t="s">
        <v>18</v>
      </c>
      <c r="F132" s="106" t="s">
        <v>197</v>
      </c>
      <c r="G132" s="118" t="s">
        <v>79</v>
      </c>
      <c r="H132" s="132"/>
      <c r="I132" s="132"/>
      <c r="J132" s="83"/>
      <c r="K132" s="45"/>
      <c r="L132" s="97">
        <v>232.2845</v>
      </c>
      <c r="M132" s="84">
        <f>232.2845+1.39318</f>
        <v>233.67768</v>
      </c>
      <c r="N132" s="84">
        <v>220.7</v>
      </c>
      <c r="O132" s="100">
        <f t="shared" si="0"/>
        <v>1.393180000000001</v>
      </c>
    </row>
    <row r="133" spans="1:15" ht="20.25" customHeight="1">
      <c r="A133" s="39"/>
      <c r="B133" s="116" t="s">
        <v>21</v>
      </c>
      <c r="C133" s="21">
        <v>703</v>
      </c>
      <c r="D133" s="118" t="s">
        <v>115</v>
      </c>
      <c r="E133" s="118" t="s">
        <v>18</v>
      </c>
      <c r="F133" s="106" t="s">
        <v>34</v>
      </c>
      <c r="G133" s="118"/>
      <c r="H133" s="132"/>
      <c r="I133" s="132"/>
      <c r="J133" s="83"/>
      <c r="K133" s="45"/>
      <c r="L133" s="83">
        <f aca="true" t="shared" si="66" ref="L133:L134">L134</f>
        <v>166.55</v>
      </c>
      <c r="M133" s="84">
        <f aca="true" t="shared" si="67" ref="M133:M134">M134</f>
        <v>116.55000000000001</v>
      </c>
      <c r="N133" s="84">
        <f aca="true" t="shared" si="68" ref="N133:N134">N134</f>
        <v>116.55000000000001</v>
      </c>
      <c r="O133" s="81">
        <f t="shared" si="0"/>
        <v>-50</v>
      </c>
    </row>
    <row r="134" spans="1:15" ht="18.75" customHeight="1">
      <c r="A134" s="39"/>
      <c r="B134" s="116" t="s">
        <v>49</v>
      </c>
      <c r="C134" s="21">
        <v>703</v>
      </c>
      <c r="D134" s="118" t="s">
        <v>115</v>
      </c>
      <c r="E134" s="118" t="s">
        <v>18</v>
      </c>
      <c r="F134" s="106" t="s">
        <v>35</v>
      </c>
      <c r="G134" s="118"/>
      <c r="H134" s="132"/>
      <c r="I134" s="132"/>
      <c r="J134" s="83"/>
      <c r="K134" s="45"/>
      <c r="L134" s="83">
        <f t="shared" si="66"/>
        <v>166.55</v>
      </c>
      <c r="M134" s="84">
        <f t="shared" si="67"/>
        <v>116.55000000000001</v>
      </c>
      <c r="N134" s="84">
        <f t="shared" si="68"/>
        <v>116.55000000000001</v>
      </c>
      <c r="O134" s="81">
        <f t="shared" si="0"/>
        <v>-50</v>
      </c>
    </row>
    <row r="135" spans="1:15" ht="31.5" customHeight="1">
      <c r="A135" s="39"/>
      <c r="B135" s="116" t="s">
        <v>198</v>
      </c>
      <c r="C135" s="21">
        <v>703</v>
      </c>
      <c r="D135" s="118" t="s">
        <v>115</v>
      </c>
      <c r="E135" s="118" t="s">
        <v>18</v>
      </c>
      <c r="F135" s="106" t="s">
        <v>199</v>
      </c>
      <c r="G135" s="118" t="s">
        <v>41</v>
      </c>
      <c r="H135" s="132"/>
      <c r="I135" s="132"/>
      <c r="J135" s="83"/>
      <c r="K135" s="45"/>
      <c r="L135" s="83">
        <f>50+50+16.55+50</f>
        <v>166.55</v>
      </c>
      <c r="M135" s="84">
        <f>50+50+16.55+50-50</f>
        <v>116.55000000000001</v>
      </c>
      <c r="N135" s="84">
        <f>50+50+16.55+50-50</f>
        <v>116.55000000000001</v>
      </c>
      <c r="O135" s="85">
        <f t="shared" si="0"/>
        <v>-50</v>
      </c>
    </row>
    <row r="136" spans="1:15" ht="36" customHeight="1">
      <c r="A136" s="39"/>
      <c r="B136" s="74" t="s">
        <v>200</v>
      </c>
      <c r="C136" s="21">
        <v>703</v>
      </c>
      <c r="D136" s="59" t="s">
        <v>115</v>
      </c>
      <c r="E136" s="59" t="s">
        <v>18</v>
      </c>
      <c r="F136" s="60" t="s">
        <v>53</v>
      </c>
      <c r="G136" s="59"/>
      <c r="H136" s="65">
        <f>H137+H139</f>
        <v>907</v>
      </c>
      <c r="I136" s="65">
        <f>I137+I139</f>
        <v>907</v>
      </c>
      <c r="J136" s="129">
        <f>J137+J139</f>
        <v>907</v>
      </c>
      <c r="K136" s="36">
        <f aca="true" t="shared" si="69" ref="K136:K147">J136-I136</f>
        <v>0</v>
      </c>
      <c r="L136" s="129">
        <f>L137+L139</f>
        <v>907</v>
      </c>
      <c r="M136" s="63">
        <f>M137+M139</f>
        <v>857.7</v>
      </c>
      <c r="N136" s="63">
        <f>N137+N139</f>
        <v>857.7</v>
      </c>
      <c r="O136" s="38">
        <f t="shared" si="0"/>
        <v>-49.299999999999955</v>
      </c>
    </row>
    <row r="137" spans="1:15" ht="33.75" customHeight="1">
      <c r="A137" s="39"/>
      <c r="B137" s="104" t="s">
        <v>201</v>
      </c>
      <c r="C137" s="21">
        <v>703</v>
      </c>
      <c r="D137" s="59" t="s">
        <v>115</v>
      </c>
      <c r="E137" s="59" t="s">
        <v>18</v>
      </c>
      <c r="F137" s="60" t="s">
        <v>202</v>
      </c>
      <c r="G137" s="59"/>
      <c r="H137" s="65">
        <f>H138</f>
        <v>907</v>
      </c>
      <c r="I137" s="65">
        <f>I138</f>
        <v>907</v>
      </c>
      <c r="J137" s="129">
        <f>J138</f>
        <v>907</v>
      </c>
      <c r="K137" s="36">
        <f t="shared" si="69"/>
        <v>0</v>
      </c>
      <c r="L137" s="129">
        <f>L138</f>
        <v>907</v>
      </c>
      <c r="M137" s="63">
        <f>M138</f>
        <v>857.7</v>
      </c>
      <c r="N137" s="63">
        <f>N138</f>
        <v>857.7</v>
      </c>
      <c r="O137" s="38">
        <f t="shared" si="0"/>
        <v>-49.299999999999955</v>
      </c>
    </row>
    <row r="138" spans="1:15" ht="16.5">
      <c r="A138" s="39"/>
      <c r="B138" s="116" t="s">
        <v>203</v>
      </c>
      <c r="C138" s="21">
        <v>703</v>
      </c>
      <c r="D138" s="59" t="s">
        <v>115</v>
      </c>
      <c r="E138" s="59" t="s">
        <v>18</v>
      </c>
      <c r="F138" s="60" t="s">
        <v>204</v>
      </c>
      <c r="G138" s="59" t="s">
        <v>30</v>
      </c>
      <c r="H138" s="132">
        <v>907</v>
      </c>
      <c r="I138" s="132">
        <v>907</v>
      </c>
      <c r="J138" s="97">
        <f>907-338.54293+338.54293</f>
        <v>907</v>
      </c>
      <c r="K138" s="36">
        <f t="shared" si="69"/>
        <v>0</v>
      </c>
      <c r="L138" s="97">
        <f>907-338.54293+338.54293</f>
        <v>907</v>
      </c>
      <c r="M138" s="84">
        <v>857.7</v>
      </c>
      <c r="N138" s="84">
        <v>857.7</v>
      </c>
      <c r="O138" s="100">
        <f t="shared" si="0"/>
        <v>-49.299999999999955</v>
      </c>
    </row>
    <row r="139" spans="1:15" ht="0.75" customHeight="1">
      <c r="A139" s="39"/>
      <c r="B139" s="104" t="s">
        <v>205</v>
      </c>
      <c r="C139" s="21">
        <v>703</v>
      </c>
      <c r="D139" s="59" t="s">
        <v>115</v>
      </c>
      <c r="E139" s="59" t="s">
        <v>18</v>
      </c>
      <c r="F139" s="60" t="s">
        <v>206</v>
      </c>
      <c r="G139" s="59"/>
      <c r="H139" s="65">
        <f>H140</f>
        <v>0</v>
      </c>
      <c r="I139" s="65">
        <f>I140</f>
        <v>0</v>
      </c>
      <c r="J139" s="66">
        <f>J140</f>
        <v>0</v>
      </c>
      <c r="K139" s="45">
        <f t="shared" si="69"/>
        <v>0</v>
      </c>
      <c r="L139" s="66">
        <f>L140</f>
        <v>0</v>
      </c>
      <c r="M139" s="63">
        <f>M140</f>
        <v>0</v>
      </c>
      <c r="N139" s="63">
        <f>N140</f>
        <v>0</v>
      </c>
      <c r="O139" s="38">
        <f t="shared" si="0"/>
        <v>0</v>
      </c>
    </row>
    <row r="140" spans="1:15" ht="78" customHeight="1" hidden="1">
      <c r="A140" s="39"/>
      <c r="B140" s="137" t="s">
        <v>207</v>
      </c>
      <c r="C140" s="21">
        <v>703</v>
      </c>
      <c r="D140" s="69" t="s">
        <v>115</v>
      </c>
      <c r="E140" s="69" t="s">
        <v>18</v>
      </c>
      <c r="F140" s="138" t="s">
        <v>208</v>
      </c>
      <c r="G140" s="69" t="s">
        <v>209</v>
      </c>
      <c r="H140" s="71">
        <v>0</v>
      </c>
      <c r="I140" s="71">
        <v>0</v>
      </c>
      <c r="J140" s="134">
        <v>0</v>
      </c>
      <c r="K140" s="45">
        <f t="shared" si="69"/>
        <v>0</v>
      </c>
      <c r="L140" s="134">
        <v>0</v>
      </c>
      <c r="M140" s="73">
        <v>0</v>
      </c>
      <c r="N140" s="73">
        <v>0</v>
      </c>
      <c r="O140" s="38">
        <f t="shared" si="0"/>
        <v>0</v>
      </c>
    </row>
    <row r="141" spans="1:15" ht="16.5">
      <c r="A141" s="39"/>
      <c r="B141" s="139" t="s">
        <v>210</v>
      </c>
      <c r="C141" s="21">
        <v>703</v>
      </c>
      <c r="D141" s="76" t="s">
        <v>115</v>
      </c>
      <c r="E141" s="76" t="s">
        <v>60</v>
      </c>
      <c r="F141" s="140"/>
      <c r="G141" s="76"/>
      <c r="H141" s="86">
        <f aca="true" t="shared" si="70" ref="H141:H142">H142</f>
        <v>1600</v>
      </c>
      <c r="I141" s="86">
        <f aca="true" t="shared" si="71" ref="I141:I142">I142</f>
        <v>2276</v>
      </c>
      <c r="J141" s="79">
        <f aca="true" t="shared" si="72" ref="J141:J142">J142</f>
        <v>3508</v>
      </c>
      <c r="K141" s="45">
        <f t="shared" si="69"/>
        <v>1232</v>
      </c>
      <c r="L141" s="79">
        <f aca="true" t="shared" si="73" ref="L141:L142">L142</f>
        <v>3508</v>
      </c>
      <c r="M141" s="80">
        <f aca="true" t="shared" si="74" ref="M141:M142">M142</f>
        <v>2578.02273</v>
      </c>
      <c r="N141" s="80">
        <f aca="true" t="shared" si="75" ref="N141:N142">N142</f>
        <v>336.2</v>
      </c>
      <c r="O141" s="38">
        <f t="shared" si="0"/>
        <v>-929.9772699999999</v>
      </c>
    </row>
    <row r="142" spans="1:15" ht="16.5">
      <c r="A142" s="39"/>
      <c r="B142" s="104" t="s">
        <v>21</v>
      </c>
      <c r="C142" s="21">
        <v>703</v>
      </c>
      <c r="D142" s="59" t="s">
        <v>115</v>
      </c>
      <c r="E142" s="59" t="s">
        <v>60</v>
      </c>
      <c r="F142" s="106" t="s">
        <v>22</v>
      </c>
      <c r="G142" s="59"/>
      <c r="H142" s="65">
        <f t="shared" si="70"/>
        <v>1600</v>
      </c>
      <c r="I142" s="65">
        <f t="shared" si="71"/>
        <v>2276</v>
      </c>
      <c r="J142" s="66">
        <f t="shared" si="72"/>
        <v>3508</v>
      </c>
      <c r="K142" s="45">
        <f t="shared" si="69"/>
        <v>1232</v>
      </c>
      <c r="L142" s="66">
        <f t="shared" si="73"/>
        <v>3508</v>
      </c>
      <c r="M142" s="63">
        <f t="shared" si="74"/>
        <v>2578.02273</v>
      </c>
      <c r="N142" s="63">
        <f t="shared" si="75"/>
        <v>336.2</v>
      </c>
      <c r="O142" s="38">
        <f t="shared" si="0"/>
        <v>-929.9772699999999</v>
      </c>
    </row>
    <row r="143" spans="1:15" ht="16.5">
      <c r="A143" s="39"/>
      <c r="B143" s="104" t="s">
        <v>49</v>
      </c>
      <c r="C143" s="21">
        <v>703</v>
      </c>
      <c r="D143" s="59" t="s">
        <v>115</v>
      </c>
      <c r="E143" s="59" t="s">
        <v>60</v>
      </c>
      <c r="F143" s="106" t="s">
        <v>35</v>
      </c>
      <c r="G143" s="59"/>
      <c r="H143" s="65">
        <f>H144+H146+H147+H145</f>
        <v>1600</v>
      </c>
      <c r="I143" s="65">
        <f>I144+I146+I147+I145</f>
        <v>2276</v>
      </c>
      <c r="J143" s="66">
        <f>J144+J145+J146+J147</f>
        <v>3508</v>
      </c>
      <c r="K143" s="45">
        <f t="shared" si="69"/>
        <v>1232</v>
      </c>
      <c r="L143" s="66">
        <f>L144+L145+L146+L147</f>
        <v>3508</v>
      </c>
      <c r="M143" s="63">
        <f>M144+M145+M146+M147</f>
        <v>2578.02273</v>
      </c>
      <c r="N143" s="63">
        <f>N144+N145+N146+N147</f>
        <v>336.2</v>
      </c>
      <c r="O143" s="38">
        <f t="shared" si="0"/>
        <v>-929.9772699999999</v>
      </c>
    </row>
    <row r="144" spans="1:15" ht="52.5" customHeight="1" hidden="1">
      <c r="A144" s="39"/>
      <c r="B144" s="104" t="s">
        <v>211</v>
      </c>
      <c r="C144" s="21">
        <v>703</v>
      </c>
      <c r="D144" s="118" t="s">
        <v>115</v>
      </c>
      <c r="E144" s="118" t="s">
        <v>60</v>
      </c>
      <c r="F144" s="106" t="s">
        <v>145</v>
      </c>
      <c r="G144" s="118" t="s">
        <v>102</v>
      </c>
      <c r="H144" s="132">
        <v>700</v>
      </c>
      <c r="I144" s="132">
        <v>700</v>
      </c>
      <c r="J144" s="83">
        <f>700-700</f>
        <v>0</v>
      </c>
      <c r="K144" s="45">
        <f t="shared" si="69"/>
        <v>-700</v>
      </c>
      <c r="L144" s="83">
        <f>700-700</f>
        <v>0</v>
      </c>
      <c r="M144" s="84">
        <f>700-700</f>
        <v>0</v>
      </c>
      <c r="N144" s="84">
        <f>700-700</f>
        <v>0</v>
      </c>
      <c r="O144" s="38">
        <f t="shared" si="0"/>
        <v>0</v>
      </c>
    </row>
    <row r="145" spans="1:15" ht="51" customHeight="1" hidden="1">
      <c r="A145" s="39"/>
      <c r="B145" s="104" t="s">
        <v>212</v>
      </c>
      <c r="C145" s="21">
        <v>703</v>
      </c>
      <c r="D145" s="118" t="s">
        <v>115</v>
      </c>
      <c r="E145" s="118" t="s">
        <v>60</v>
      </c>
      <c r="F145" s="106" t="s">
        <v>213</v>
      </c>
      <c r="G145" s="118" t="s">
        <v>30</v>
      </c>
      <c r="H145" s="132">
        <v>0</v>
      </c>
      <c r="I145" s="132">
        <v>0</v>
      </c>
      <c r="J145" s="83">
        <f>700</f>
        <v>700</v>
      </c>
      <c r="K145" s="45">
        <f t="shared" si="69"/>
        <v>700</v>
      </c>
      <c r="L145" s="83">
        <f>700-700+700</f>
        <v>700</v>
      </c>
      <c r="M145" s="84">
        <f>700-700+700-700</f>
        <v>0</v>
      </c>
      <c r="N145" s="84">
        <f>700-700+700-700</f>
        <v>0</v>
      </c>
      <c r="O145" s="81">
        <f t="shared" si="0"/>
        <v>-700</v>
      </c>
    </row>
    <row r="146" spans="1:15" ht="73.5" customHeight="1">
      <c r="A146" s="39"/>
      <c r="B146" s="104" t="s">
        <v>214</v>
      </c>
      <c r="C146" s="21">
        <v>703</v>
      </c>
      <c r="D146" s="118" t="s">
        <v>115</v>
      </c>
      <c r="E146" s="118" t="s">
        <v>60</v>
      </c>
      <c r="F146" s="106" t="s">
        <v>215</v>
      </c>
      <c r="G146" s="118" t="s">
        <v>79</v>
      </c>
      <c r="H146" s="132">
        <v>800</v>
      </c>
      <c r="I146" s="132">
        <f>800+676</f>
        <v>1476</v>
      </c>
      <c r="J146" s="83">
        <f>800+676+1232</f>
        <v>2708</v>
      </c>
      <c r="K146" s="45">
        <f t="shared" si="69"/>
        <v>1232</v>
      </c>
      <c r="L146" s="83">
        <f>800+676+1232</f>
        <v>2708</v>
      </c>
      <c r="M146" s="84">
        <f>800+676+1232-129.97727</f>
        <v>2578.02273</v>
      </c>
      <c r="N146" s="84">
        <v>336.2</v>
      </c>
      <c r="O146" s="100">
        <f t="shared" si="0"/>
        <v>-129.97726999999986</v>
      </c>
    </row>
    <row r="147" spans="1:15" ht="71.25" customHeight="1" hidden="1">
      <c r="A147" s="39"/>
      <c r="B147" s="104" t="s">
        <v>216</v>
      </c>
      <c r="C147" s="21">
        <v>703</v>
      </c>
      <c r="D147" s="118" t="s">
        <v>115</v>
      </c>
      <c r="E147" s="118" t="s">
        <v>60</v>
      </c>
      <c r="F147" s="106" t="s">
        <v>217</v>
      </c>
      <c r="G147" s="118" t="s">
        <v>79</v>
      </c>
      <c r="H147" s="132">
        <v>100</v>
      </c>
      <c r="I147" s="132">
        <v>100</v>
      </c>
      <c r="J147" s="83">
        <v>100</v>
      </c>
      <c r="K147" s="45">
        <f t="shared" si="69"/>
        <v>0</v>
      </c>
      <c r="L147" s="83">
        <v>100</v>
      </c>
      <c r="M147" s="84">
        <f>100-61.46628-38.53372</f>
        <v>0</v>
      </c>
      <c r="N147" s="84">
        <f>100-61.46628-38.53372</f>
        <v>0</v>
      </c>
      <c r="O147" s="126">
        <f t="shared" si="0"/>
        <v>-100</v>
      </c>
    </row>
    <row r="148" spans="1:15" ht="27.75" customHeight="1" hidden="1">
      <c r="A148" s="39"/>
      <c r="B148" s="116" t="s">
        <v>218</v>
      </c>
      <c r="C148" s="21">
        <v>703</v>
      </c>
      <c r="D148" s="118" t="s">
        <v>115</v>
      </c>
      <c r="E148" s="118" t="s">
        <v>18</v>
      </c>
      <c r="F148" s="106" t="s">
        <v>199</v>
      </c>
      <c r="G148" s="118" t="s">
        <v>30</v>
      </c>
      <c r="H148" s="132"/>
      <c r="I148" s="132"/>
      <c r="J148" s="83"/>
      <c r="K148" s="45"/>
      <c r="L148" s="83"/>
      <c r="M148" s="84"/>
      <c r="N148" s="84"/>
      <c r="O148" s="38">
        <f t="shared" si="0"/>
        <v>0</v>
      </c>
    </row>
    <row r="149" spans="1:15" ht="16.5">
      <c r="A149" s="39"/>
      <c r="B149" s="40" t="s">
        <v>219</v>
      </c>
      <c r="C149" s="21">
        <v>703</v>
      </c>
      <c r="D149" s="76" t="s">
        <v>115</v>
      </c>
      <c r="E149" s="76" t="s">
        <v>20</v>
      </c>
      <c r="F149" s="77"/>
      <c r="G149" s="76"/>
      <c r="H149" s="86">
        <f>H153+H177+H164+H150</f>
        <v>6644.1</v>
      </c>
      <c r="I149" s="86">
        <f>I153+I177+I164+I150</f>
        <v>7744.1</v>
      </c>
      <c r="J149" s="87">
        <f>J150+J153+J164+J177</f>
        <v>13415.57261</v>
      </c>
      <c r="K149" s="36">
        <f aca="true" t="shared" si="76" ref="K149:K158">J149-I149</f>
        <v>5671.472609999999</v>
      </c>
      <c r="L149" s="87">
        <f>L150+L153+L164+L177</f>
        <v>14211.366590000001</v>
      </c>
      <c r="M149" s="80">
        <f>M150+M153+M164+M177</f>
        <v>13482.77316</v>
      </c>
      <c r="N149" s="80">
        <f>N150+N153+N164+N177</f>
        <v>13242.900000000001</v>
      </c>
      <c r="O149" s="38">
        <f t="shared" si="0"/>
        <v>-728.5934300000008</v>
      </c>
    </row>
    <row r="150" spans="1:15" ht="43.5" customHeight="1">
      <c r="A150" s="39"/>
      <c r="B150" s="74" t="s">
        <v>94</v>
      </c>
      <c r="C150" s="21">
        <v>703</v>
      </c>
      <c r="D150" s="59" t="s">
        <v>115</v>
      </c>
      <c r="E150" s="59" t="s">
        <v>20</v>
      </c>
      <c r="F150" s="60" t="s">
        <v>32</v>
      </c>
      <c r="G150" s="59"/>
      <c r="H150" s="61">
        <f>H152</f>
        <v>500</v>
      </c>
      <c r="I150" s="61">
        <f>I152</f>
        <v>1600</v>
      </c>
      <c r="J150" s="66">
        <f>J152</f>
        <v>1600</v>
      </c>
      <c r="K150" s="45">
        <f t="shared" si="76"/>
        <v>0</v>
      </c>
      <c r="L150" s="95">
        <f>L152</f>
        <v>1450.921</v>
      </c>
      <c r="M150" s="63">
        <f>M152</f>
        <v>987.1</v>
      </c>
      <c r="N150" s="63">
        <f>N152</f>
        <v>987.1</v>
      </c>
      <c r="O150" s="38">
        <f t="shared" si="0"/>
        <v>-463.821</v>
      </c>
    </row>
    <row r="151" spans="1:15" ht="30.75" customHeight="1">
      <c r="A151" s="39"/>
      <c r="B151" s="74" t="s">
        <v>220</v>
      </c>
      <c r="C151" s="21">
        <v>703</v>
      </c>
      <c r="D151" s="59" t="s">
        <v>115</v>
      </c>
      <c r="E151" s="59" t="s">
        <v>20</v>
      </c>
      <c r="F151" s="60" t="s">
        <v>96</v>
      </c>
      <c r="G151" s="59"/>
      <c r="H151" s="61">
        <f>H152</f>
        <v>500</v>
      </c>
      <c r="I151" s="61">
        <f>I152</f>
        <v>1600</v>
      </c>
      <c r="J151" s="66">
        <f>J152</f>
        <v>1600</v>
      </c>
      <c r="K151" s="45">
        <f t="shared" si="76"/>
        <v>0</v>
      </c>
      <c r="L151" s="95">
        <f>L152</f>
        <v>1450.921</v>
      </c>
      <c r="M151" s="63">
        <f>M152</f>
        <v>987.1</v>
      </c>
      <c r="N151" s="63">
        <f>N152</f>
        <v>987.1</v>
      </c>
      <c r="O151" s="38">
        <f t="shared" si="0"/>
        <v>-463.821</v>
      </c>
    </row>
    <row r="152" spans="1:15" ht="30.75" customHeight="1">
      <c r="A152" s="39"/>
      <c r="B152" s="116" t="s">
        <v>97</v>
      </c>
      <c r="C152" s="21">
        <v>703</v>
      </c>
      <c r="D152" s="59" t="s">
        <v>115</v>
      </c>
      <c r="E152" s="59" t="s">
        <v>20</v>
      </c>
      <c r="F152" s="60" t="s">
        <v>98</v>
      </c>
      <c r="G152" s="59" t="s">
        <v>30</v>
      </c>
      <c r="H152" s="82">
        <f>200+300</f>
        <v>500</v>
      </c>
      <c r="I152" s="82">
        <f>200+300+1100</f>
        <v>1600</v>
      </c>
      <c r="J152" s="83">
        <f>200+300+1100</f>
        <v>1600</v>
      </c>
      <c r="K152" s="45">
        <f t="shared" si="76"/>
        <v>0</v>
      </c>
      <c r="L152" s="131">
        <f>200+300+1100-99.079-50</f>
        <v>1450.921</v>
      </c>
      <c r="M152" s="84">
        <v>987.1</v>
      </c>
      <c r="N152" s="84">
        <v>987.1</v>
      </c>
      <c r="O152" s="38">
        <f t="shared" si="0"/>
        <v>-463.821</v>
      </c>
    </row>
    <row r="153" spans="1:15" ht="60.75" customHeight="1">
      <c r="A153" s="39"/>
      <c r="B153" s="74" t="s">
        <v>116</v>
      </c>
      <c r="C153" s="21">
        <v>703</v>
      </c>
      <c r="D153" s="59" t="s">
        <v>115</v>
      </c>
      <c r="E153" s="59" t="s">
        <v>20</v>
      </c>
      <c r="F153" s="60" t="s">
        <v>221</v>
      </c>
      <c r="G153" s="59"/>
      <c r="H153" s="65">
        <f>H154+H157+H160+H162</f>
        <v>3924.1</v>
      </c>
      <c r="I153" s="65">
        <f>I154+I157+I160+I162</f>
        <v>3924.1</v>
      </c>
      <c r="J153" s="129">
        <f>J154+J157+J160+J162</f>
        <v>3935.97759</v>
      </c>
      <c r="K153" s="36">
        <f t="shared" si="76"/>
        <v>11.877590000000055</v>
      </c>
      <c r="L153" s="129">
        <f>L154+L157+L160+L162</f>
        <v>4912.59759</v>
      </c>
      <c r="M153" s="63">
        <f>M154+M157+M160+M162</f>
        <v>4844.14559</v>
      </c>
      <c r="N153" s="63">
        <f>N154+N157+N160+N162</f>
        <v>4604.6</v>
      </c>
      <c r="O153" s="38">
        <f t="shared" si="0"/>
        <v>-68.45200000000023</v>
      </c>
    </row>
    <row r="154" spans="1:15" ht="30.75" customHeight="1">
      <c r="A154" s="39"/>
      <c r="B154" s="116" t="s">
        <v>222</v>
      </c>
      <c r="C154" s="21">
        <v>703</v>
      </c>
      <c r="D154" s="59" t="s">
        <v>115</v>
      </c>
      <c r="E154" s="59" t="s">
        <v>20</v>
      </c>
      <c r="F154" s="60" t="s">
        <v>223</v>
      </c>
      <c r="G154" s="59"/>
      <c r="H154" s="65">
        <f>H155</f>
        <v>2474.1</v>
      </c>
      <c r="I154" s="65">
        <f>I155</f>
        <v>2474.1</v>
      </c>
      <c r="J154" s="129">
        <f>J155+J156</f>
        <v>2485.97759</v>
      </c>
      <c r="K154" s="36">
        <f t="shared" si="76"/>
        <v>11.877590000000055</v>
      </c>
      <c r="L154" s="129">
        <f>L155+L156</f>
        <v>2985.97759</v>
      </c>
      <c r="M154" s="63">
        <f>M155+M156</f>
        <v>3318.86542</v>
      </c>
      <c r="N154" s="63">
        <f>N155+N156</f>
        <v>3206.2000000000003</v>
      </c>
      <c r="O154" s="38">
        <f t="shared" si="0"/>
        <v>332.8878300000001</v>
      </c>
    </row>
    <row r="155" spans="1:15" ht="33" customHeight="1">
      <c r="A155" s="39"/>
      <c r="B155" s="74" t="s">
        <v>224</v>
      </c>
      <c r="C155" s="21">
        <v>703</v>
      </c>
      <c r="D155" s="59" t="s">
        <v>115</v>
      </c>
      <c r="E155" s="59" t="s">
        <v>20</v>
      </c>
      <c r="F155" s="60" t="s">
        <v>225</v>
      </c>
      <c r="G155" s="59" t="s">
        <v>30</v>
      </c>
      <c r="H155" s="65">
        <v>2474.1</v>
      </c>
      <c r="I155" s="65">
        <v>2474.1</v>
      </c>
      <c r="J155" s="129">
        <v>2474.1</v>
      </c>
      <c r="K155" s="36">
        <f t="shared" si="76"/>
        <v>0</v>
      </c>
      <c r="L155" s="129">
        <f>2474.1+500</f>
        <v>2974.1</v>
      </c>
      <c r="M155" s="63">
        <f>2474.1+500+341</f>
        <v>3315.1</v>
      </c>
      <c r="N155" s="63">
        <v>3202.4</v>
      </c>
      <c r="O155" s="38">
        <f t="shared" si="0"/>
        <v>341</v>
      </c>
    </row>
    <row r="156" spans="1:15" ht="26.25" customHeight="1">
      <c r="A156" s="39"/>
      <c r="B156" s="74" t="s">
        <v>226</v>
      </c>
      <c r="C156" s="21">
        <v>703</v>
      </c>
      <c r="D156" s="59" t="s">
        <v>115</v>
      </c>
      <c r="E156" s="59" t="s">
        <v>20</v>
      </c>
      <c r="F156" s="60" t="s">
        <v>225</v>
      </c>
      <c r="G156" s="59" t="s">
        <v>41</v>
      </c>
      <c r="H156" s="65">
        <v>0</v>
      </c>
      <c r="I156" s="65">
        <v>0</v>
      </c>
      <c r="J156" s="129">
        <f>0+2.37759+1.5+8</f>
        <v>11.87759</v>
      </c>
      <c r="K156" s="36">
        <f t="shared" si="76"/>
        <v>11.87759</v>
      </c>
      <c r="L156" s="129">
        <f>0+2.37759+1.5+8</f>
        <v>11.87759</v>
      </c>
      <c r="M156" s="63">
        <f>0+2.37759+1.5+8-8.11217</f>
        <v>3.765419999999999</v>
      </c>
      <c r="N156" s="63">
        <v>3.8</v>
      </c>
      <c r="O156" s="38">
        <f t="shared" si="0"/>
        <v>-8.11217</v>
      </c>
    </row>
    <row r="157" spans="1:15" ht="37.5" customHeight="1" hidden="1">
      <c r="A157" s="39"/>
      <c r="B157" s="116" t="s">
        <v>227</v>
      </c>
      <c r="C157" s="21">
        <v>703</v>
      </c>
      <c r="D157" s="59" t="s">
        <v>115</v>
      </c>
      <c r="E157" s="59" t="s">
        <v>20</v>
      </c>
      <c r="F157" s="60" t="s">
        <v>228</v>
      </c>
      <c r="G157" s="59"/>
      <c r="H157" s="65">
        <f>H158</f>
        <v>100</v>
      </c>
      <c r="I157" s="65">
        <f>I158</f>
        <v>100</v>
      </c>
      <c r="J157" s="129">
        <f>J158</f>
        <v>100</v>
      </c>
      <c r="K157" s="36">
        <f t="shared" si="76"/>
        <v>0</v>
      </c>
      <c r="L157" s="129">
        <f>L158</f>
        <v>100</v>
      </c>
      <c r="M157" s="63">
        <f>M158+M159</f>
        <v>120</v>
      </c>
      <c r="N157" s="63">
        <f>N158+N159</f>
        <v>0</v>
      </c>
      <c r="O157" s="38">
        <f t="shared" si="0"/>
        <v>20</v>
      </c>
    </row>
    <row r="158" spans="1:15" ht="34.5" customHeight="1" hidden="1">
      <c r="A158" s="39"/>
      <c r="B158" s="74" t="s">
        <v>229</v>
      </c>
      <c r="C158" s="21">
        <v>703</v>
      </c>
      <c r="D158" s="59" t="s">
        <v>115</v>
      </c>
      <c r="E158" s="59" t="s">
        <v>20</v>
      </c>
      <c r="F158" s="60" t="s">
        <v>230</v>
      </c>
      <c r="G158" s="59" t="s">
        <v>30</v>
      </c>
      <c r="H158" s="65">
        <v>100</v>
      </c>
      <c r="I158" s="65">
        <v>100</v>
      </c>
      <c r="J158" s="129">
        <v>100</v>
      </c>
      <c r="K158" s="36">
        <f t="shared" si="76"/>
        <v>0</v>
      </c>
      <c r="L158" s="129">
        <v>100</v>
      </c>
      <c r="M158" s="63">
        <f>100-27.468-72.532</f>
        <v>0</v>
      </c>
      <c r="N158" s="63">
        <f>100-27.468-72.532</f>
        <v>0</v>
      </c>
      <c r="O158" s="38">
        <f t="shared" si="0"/>
        <v>-100</v>
      </c>
    </row>
    <row r="159" spans="1:15" ht="34.5" customHeight="1" hidden="1">
      <c r="A159" s="39"/>
      <c r="B159" s="74" t="s">
        <v>231</v>
      </c>
      <c r="C159" s="21">
        <v>703</v>
      </c>
      <c r="D159" s="59" t="s">
        <v>115</v>
      </c>
      <c r="E159" s="59" t="s">
        <v>20</v>
      </c>
      <c r="F159" s="60" t="s">
        <v>232</v>
      </c>
      <c r="G159" s="59" t="s">
        <v>30</v>
      </c>
      <c r="H159" s="65"/>
      <c r="I159" s="65"/>
      <c r="J159" s="129"/>
      <c r="K159" s="36"/>
      <c r="L159" s="129"/>
      <c r="M159" s="63">
        <f>120</f>
        <v>120</v>
      </c>
      <c r="N159" s="63">
        <v>0</v>
      </c>
      <c r="O159" s="38">
        <f t="shared" si="0"/>
        <v>120</v>
      </c>
    </row>
    <row r="160" spans="1:15" ht="30.75" customHeight="1">
      <c r="A160" s="39"/>
      <c r="B160" s="116" t="s">
        <v>233</v>
      </c>
      <c r="C160" s="21">
        <v>703</v>
      </c>
      <c r="D160" s="59" t="s">
        <v>115</v>
      </c>
      <c r="E160" s="59" t="s">
        <v>20</v>
      </c>
      <c r="F160" s="60" t="s">
        <v>234</v>
      </c>
      <c r="G160" s="59"/>
      <c r="H160" s="65">
        <v>850</v>
      </c>
      <c r="I160" s="65">
        <v>850</v>
      </c>
      <c r="J160" s="129">
        <v>850</v>
      </c>
      <c r="K160" s="36">
        <f aca="true" t="shared" si="77" ref="K160:K200">J160-I160</f>
        <v>0</v>
      </c>
      <c r="L160" s="129">
        <f>L161</f>
        <v>950</v>
      </c>
      <c r="M160" s="63">
        <f>M161</f>
        <v>605.28017</v>
      </c>
      <c r="N160" s="63">
        <f>N161</f>
        <v>598.4</v>
      </c>
      <c r="O160" s="38">
        <f t="shared" si="0"/>
        <v>-344.71983</v>
      </c>
    </row>
    <row r="161" spans="1:15" ht="33" customHeight="1">
      <c r="A161" s="39"/>
      <c r="B161" s="74" t="s">
        <v>235</v>
      </c>
      <c r="C161" s="21">
        <v>703</v>
      </c>
      <c r="D161" s="59" t="s">
        <v>115</v>
      </c>
      <c r="E161" s="59" t="s">
        <v>20</v>
      </c>
      <c r="F161" s="60" t="s">
        <v>236</v>
      </c>
      <c r="G161" s="59" t="s">
        <v>30</v>
      </c>
      <c r="H161" s="65">
        <v>850</v>
      </c>
      <c r="I161" s="65">
        <v>850</v>
      </c>
      <c r="J161" s="129">
        <f>850-252.8+252.8</f>
        <v>850</v>
      </c>
      <c r="K161" s="36">
        <f t="shared" si="77"/>
        <v>0</v>
      </c>
      <c r="L161" s="129">
        <f>850-252.8+252.8+100</f>
        <v>950</v>
      </c>
      <c r="M161" s="63">
        <f>850-252.8+252.8+100-341-10.60738+122.80755-115.92</f>
        <v>605.28017</v>
      </c>
      <c r="N161" s="63">
        <v>598.4</v>
      </c>
      <c r="O161" s="38">
        <f t="shared" si="0"/>
        <v>-344.71983</v>
      </c>
    </row>
    <row r="162" spans="1:15" ht="29.25" customHeight="1">
      <c r="A162" s="39"/>
      <c r="B162" s="116" t="s">
        <v>237</v>
      </c>
      <c r="C162" s="21">
        <v>703</v>
      </c>
      <c r="D162" s="59" t="s">
        <v>115</v>
      </c>
      <c r="E162" s="59" t="s">
        <v>20</v>
      </c>
      <c r="F162" s="60" t="s">
        <v>238</v>
      </c>
      <c r="G162" s="59"/>
      <c r="H162" s="65">
        <f>H163</f>
        <v>500</v>
      </c>
      <c r="I162" s="65">
        <f>I163</f>
        <v>500</v>
      </c>
      <c r="J162" s="129">
        <f>J163</f>
        <v>500</v>
      </c>
      <c r="K162" s="36">
        <f t="shared" si="77"/>
        <v>0</v>
      </c>
      <c r="L162" s="129">
        <f>L163</f>
        <v>876.62</v>
      </c>
      <c r="M162" s="63">
        <f>M163</f>
        <v>800</v>
      </c>
      <c r="N162" s="63">
        <f>N163</f>
        <v>800</v>
      </c>
      <c r="O162" s="38">
        <f t="shared" si="0"/>
        <v>-76.62</v>
      </c>
    </row>
    <row r="163" spans="1:15" ht="30.75" customHeight="1">
      <c r="A163" s="39"/>
      <c r="B163" s="74" t="s">
        <v>239</v>
      </c>
      <c r="C163" s="21">
        <v>703</v>
      </c>
      <c r="D163" s="59" t="s">
        <v>115</v>
      </c>
      <c r="E163" s="59" t="s">
        <v>20</v>
      </c>
      <c r="F163" s="60" t="s">
        <v>240</v>
      </c>
      <c r="G163" s="59" t="s">
        <v>30</v>
      </c>
      <c r="H163" s="65">
        <v>500</v>
      </c>
      <c r="I163" s="65">
        <v>500</v>
      </c>
      <c r="J163" s="129">
        <v>500</v>
      </c>
      <c r="K163" s="45">
        <f t="shared" si="77"/>
        <v>0</v>
      </c>
      <c r="L163" s="129">
        <f>500+376.62</f>
        <v>876.62</v>
      </c>
      <c r="M163" s="63">
        <v>800</v>
      </c>
      <c r="N163" s="63">
        <v>800</v>
      </c>
      <c r="O163" s="100">
        <f t="shared" si="0"/>
        <v>-76.62</v>
      </c>
    </row>
    <row r="164" spans="1:15" ht="47.25" customHeight="1">
      <c r="A164" s="39"/>
      <c r="B164" s="128" t="s">
        <v>241</v>
      </c>
      <c r="C164" s="21">
        <v>703</v>
      </c>
      <c r="D164" s="118" t="s">
        <v>115</v>
      </c>
      <c r="E164" s="118" t="s">
        <v>20</v>
      </c>
      <c r="F164" s="106" t="s">
        <v>104</v>
      </c>
      <c r="G164" s="118"/>
      <c r="H164" s="132">
        <f>H171+H173+H169</f>
        <v>700</v>
      </c>
      <c r="I164" s="132">
        <f>I171+I173+I169</f>
        <v>700</v>
      </c>
      <c r="J164" s="97">
        <f>J171+J173+J169+J165+J175</f>
        <v>6359.59502</v>
      </c>
      <c r="K164" s="36">
        <f t="shared" si="77"/>
        <v>5659.59502</v>
      </c>
      <c r="L164" s="97">
        <f>L171+L173+L169+L165+L175</f>
        <v>6027.848</v>
      </c>
      <c r="M164" s="84">
        <f>M171+M173+M169+M165+M175</f>
        <v>5993.8</v>
      </c>
      <c r="N164" s="84">
        <f>N171+N173+N169+N165+N175</f>
        <v>5993.5</v>
      </c>
      <c r="O164" s="38">
        <f t="shared" si="0"/>
        <v>-34.047999999999774</v>
      </c>
    </row>
    <row r="165" spans="1:15" ht="55.5" customHeight="1">
      <c r="A165" s="39"/>
      <c r="B165" s="128" t="s">
        <v>242</v>
      </c>
      <c r="C165" s="21">
        <v>703</v>
      </c>
      <c r="D165" s="118" t="s">
        <v>115</v>
      </c>
      <c r="E165" s="118" t="s">
        <v>20</v>
      </c>
      <c r="F165" s="106" t="s">
        <v>243</v>
      </c>
      <c r="G165" s="118"/>
      <c r="H165" s="132">
        <v>0</v>
      </c>
      <c r="I165" s="132">
        <v>0</v>
      </c>
      <c r="J165" s="97">
        <f>J166+J167+J168</f>
        <v>5884.79502</v>
      </c>
      <c r="K165" s="36">
        <f t="shared" si="77"/>
        <v>5884.79502</v>
      </c>
      <c r="L165" s="97">
        <f>L166+L167+L168</f>
        <v>5884.79502</v>
      </c>
      <c r="M165" s="84">
        <f>M166+M167+M168</f>
        <v>5872</v>
      </c>
      <c r="N165" s="84">
        <f>N166+N167+N168</f>
        <v>5871.7</v>
      </c>
      <c r="O165" s="38">
        <f t="shared" si="0"/>
        <v>-12.795019999999568</v>
      </c>
    </row>
    <row r="166" spans="1:15" ht="16.5">
      <c r="A166" s="39"/>
      <c r="B166" s="128" t="s">
        <v>244</v>
      </c>
      <c r="C166" s="21">
        <v>703</v>
      </c>
      <c r="D166" s="118" t="s">
        <v>115</v>
      </c>
      <c r="E166" s="118" t="s">
        <v>20</v>
      </c>
      <c r="F166" s="106" t="s">
        <v>245</v>
      </c>
      <c r="G166" s="118" t="s">
        <v>30</v>
      </c>
      <c r="H166" s="132">
        <v>0</v>
      </c>
      <c r="I166" s="132">
        <v>0</v>
      </c>
      <c r="J166" s="97">
        <f>5179.09912</f>
        <v>5179.09912</v>
      </c>
      <c r="K166" s="36">
        <f t="shared" si="77"/>
        <v>5179.09912</v>
      </c>
      <c r="L166" s="97">
        <f>5179.09912</f>
        <v>5179.09912</v>
      </c>
      <c r="M166" s="84">
        <v>5179.1</v>
      </c>
      <c r="N166" s="84">
        <v>5178.8</v>
      </c>
      <c r="O166" s="38">
        <f t="shared" si="0"/>
        <v>0.0008800000005066977</v>
      </c>
    </row>
    <row r="167" spans="1:15" ht="16.5">
      <c r="A167" s="39"/>
      <c r="B167" s="128" t="s">
        <v>246</v>
      </c>
      <c r="C167" s="21">
        <v>703</v>
      </c>
      <c r="D167" s="118" t="s">
        <v>115</v>
      </c>
      <c r="E167" s="118" t="s">
        <v>20</v>
      </c>
      <c r="F167" s="106" t="s">
        <v>245</v>
      </c>
      <c r="G167" s="118" t="s">
        <v>30</v>
      </c>
      <c r="H167" s="132">
        <v>0</v>
      </c>
      <c r="I167" s="132">
        <v>0</v>
      </c>
      <c r="J167" s="97">
        <f>105.6959</f>
        <v>105.6959</v>
      </c>
      <c r="K167" s="36">
        <f t="shared" si="77"/>
        <v>105.6959</v>
      </c>
      <c r="L167" s="97">
        <f>105.6959</f>
        <v>105.6959</v>
      </c>
      <c r="M167" s="84">
        <v>105.7</v>
      </c>
      <c r="N167" s="84">
        <v>105.7</v>
      </c>
      <c r="O167" s="38">
        <f t="shared" si="0"/>
        <v>0.004100000000008208</v>
      </c>
    </row>
    <row r="168" spans="1:15" ht="60" customHeight="1">
      <c r="A168" s="39"/>
      <c r="B168" s="128" t="s">
        <v>247</v>
      </c>
      <c r="C168" s="21">
        <v>703</v>
      </c>
      <c r="D168" s="118" t="s">
        <v>115</v>
      </c>
      <c r="E168" s="118" t="s">
        <v>20</v>
      </c>
      <c r="F168" s="106" t="s">
        <v>245</v>
      </c>
      <c r="G168" s="118" t="s">
        <v>30</v>
      </c>
      <c r="H168" s="132">
        <v>0</v>
      </c>
      <c r="I168" s="132">
        <v>0</v>
      </c>
      <c r="J168" s="97">
        <f>600</f>
        <v>600</v>
      </c>
      <c r="K168" s="36">
        <f t="shared" si="77"/>
        <v>600</v>
      </c>
      <c r="L168" s="97">
        <f>600</f>
        <v>600</v>
      </c>
      <c r="M168" s="84">
        <v>587.2</v>
      </c>
      <c r="N168" s="84">
        <v>587.2</v>
      </c>
      <c r="O168" s="100">
        <f t="shared" si="0"/>
        <v>-12.799999999999955</v>
      </c>
    </row>
    <row r="169" spans="1:15" ht="16.5" hidden="1">
      <c r="A169" s="39"/>
      <c r="B169" s="128" t="s">
        <v>248</v>
      </c>
      <c r="C169" s="21">
        <v>703</v>
      </c>
      <c r="D169" s="118" t="s">
        <v>115</v>
      </c>
      <c r="E169" s="118" t="s">
        <v>20</v>
      </c>
      <c r="F169" s="106" t="s">
        <v>249</v>
      </c>
      <c r="G169" s="118"/>
      <c r="H169" s="132">
        <f>H170</f>
        <v>100</v>
      </c>
      <c r="I169" s="132">
        <f>I170</f>
        <v>100</v>
      </c>
      <c r="J169" s="83">
        <f>J170</f>
        <v>0</v>
      </c>
      <c r="K169" s="45">
        <f t="shared" si="77"/>
        <v>-100</v>
      </c>
      <c r="L169" s="83">
        <f>L170</f>
        <v>0</v>
      </c>
      <c r="M169" s="84">
        <f>M170</f>
        <v>0</v>
      </c>
      <c r="N169" s="84">
        <f>N170</f>
        <v>0</v>
      </c>
      <c r="O169" s="38">
        <f t="shared" si="0"/>
        <v>0</v>
      </c>
    </row>
    <row r="170" spans="1:15" ht="16.5" hidden="1">
      <c r="A170" s="39"/>
      <c r="B170" s="128" t="s">
        <v>250</v>
      </c>
      <c r="C170" s="21">
        <v>703</v>
      </c>
      <c r="D170" s="118" t="s">
        <v>115</v>
      </c>
      <c r="E170" s="118" t="s">
        <v>20</v>
      </c>
      <c r="F170" s="106" t="s">
        <v>251</v>
      </c>
      <c r="G170" s="118" t="s">
        <v>30</v>
      </c>
      <c r="H170" s="132">
        <v>100</v>
      </c>
      <c r="I170" s="132">
        <v>100</v>
      </c>
      <c r="J170" s="83">
        <f>100-100</f>
        <v>0</v>
      </c>
      <c r="K170" s="45">
        <f t="shared" si="77"/>
        <v>-100</v>
      </c>
      <c r="L170" s="83">
        <f>100-100</f>
        <v>0</v>
      </c>
      <c r="M170" s="84">
        <f>100-100</f>
        <v>0</v>
      </c>
      <c r="N170" s="84">
        <f>100-100</f>
        <v>0</v>
      </c>
      <c r="O170" s="38">
        <f t="shared" si="0"/>
        <v>0</v>
      </c>
    </row>
    <row r="171" spans="1:15" ht="33.75" customHeight="1" hidden="1">
      <c r="A171" s="39"/>
      <c r="B171" s="128" t="s">
        <v>252</v>
      </c>
      <c r="C171" s="21">
        <v>703</v>
      </c>
      <c r="D171" s="118" t="s">
        <v>115</v>
      </c>
      <c r="E171" s="118" t="s">
        <v>20</v>
      </c>
      <c r="F171" s="106" t="s">
        <v>253</v>
      </c>
      <c r="G171" s="118"/>
      <c r="H171" s="132">
        <f>H172</f>
        <v>500</v>
      </c>
      <c r="I171" s="132">
        <f>I172</f>
        <v>500</v>
      </c>
      <c r="J171" s="83">
        <f>J172</f>
        <v>0</v>
      </c>
      <c r="K171" s="45">
        <f t="shared" si="77"/>
        <v>-500</v>
      </c>
      <c r="L171" s="83">
        <f>L172</f>
        <v>0</v>
      </c>
      <c r="M171" s="84">
        <f>M172</f>
        <v>0</v>
      </c>
      <c r="N171" s="84">
        <f>N172</f>
        <v>0</v>
      </c>
      <c r="O171" s="38">
        <f t="shared" si="0"/>
        <v>0</v>
      </c>
    </row>
    <row r="172" spans="1:15" ht="16.5" hidden="1">
      <c r="A172" s="39"/>
      <c r="B172" s="128" t="s">
        <v>254</v>
      </c>
      <c r="C172" s="21">
        <v>703</v>
      </c>
      <c r="D172" s="118" t="s">
        <v>115</v>
      </c>
      <c r="E172" s="118" t="s">
        <v>20</v>
      </c>
      <c r="F172" s="106" t="s">
        <v>255</v>
      </c>
      <c r="G172" s="118" t="s">
        <v>30</v>
      </c>
      <c r="H172" s="132">
        <v>500</v>
      </c>
      <c r="I172" s="132">
        <v>500</v>
      </c>
      <c r="J172" s="83">
        <f>500-500</f>
        <v>0</v>
      </c>
      <c r="K172" s="45">
        <f t="shared" si="77"/>
        <v>-500</v>
      </c>
      <c r="L172" s="83">
        <f>500-500</f>
        <v>0</v>
      </c>
      <c r="M172" s="84">
        <f>500-500</f>
        <v>0</v>
      </c>
      <c r="N172" s="84">
        <f>500-500</f>
        <v>0</v>
      </c>
      <c r="O172" s="38">
        <f t="shared" si="0"/>
        <v>0</v>
      </c>
    </row>
    <row r="173" spans="1:15" ht="35.25" customHeight="1" hidden="1">
      <c r="A173" s="39"/>
      <c r="B173" s="128" t="s">
        <v>256</v>
      </c>
      <c r="C173" s="21">
        <v>703</v>
      </c>
      <c r="D173" s="118" t="s">
        <v>115</v>
      </c>
      <c r="E173" s="118" t="s">
        <v>20</v>
      </c>
      <c r="F173" s="106" t="s">
        <v>257</v>
      </c>
      <c r="G173" s="118"/>
      <c r="H173" s="132">
        <f>H174</f>
        <v>100</v>
      </c>
      <c r="I173" s="132">
        <f>I174</f>
        <v>100</v>
      </c>
      <c r="J173" s="83">
        <f>J174</f>
        <v>0</v>
      </c>
      <c r="K173" s="45">
        <f t="shared" si="77"/>
        <v>-100</v>
      </c>
      <c r="L173" s="83">
        <f>L174</f>
        <v>0</v>
      </c>
      <c r="M173" s="84">
        <f>M174</f>
        <v>0</v>
      </c>
      <c r="N173" s="84">
        <f>N174</f>
        <v>0</v>
      </c>
      <c r="O173" s="38">
        <f t="shared" si="0"/>
        <v>0</v>
      </c>
    </row>
    <row r="174" spans="1:15" ht="36.75" customHeight="1" hidden="1">
      <c r="A174" s="39"/>
      <c r="B174" s="128" t="s">
        <v>258</v>
      </c>
      <c r="C174" s="21">
        <v>703</v>
      </c>
      <c r="D174" s="118" t="s">
        <v>115</v>
      </c>
      <c r="E174" s="118" t="s">
        <v>20</v>
      </c>
      <c r="F174" s="106" t="s">
        <v>259</v>
      </c>
      <c r="G174" s="118" t="s">
        <v>30</v>
      </c>
      <c r="H174" s="132">
        <v>100</v>
      </c>
      <c r="I174" s="132">
        <v>100</v>
      </c>
      <c r="J174" s="83">
        <f>100-100</f>
        <v>0</v>
      </c>
      <c r="K174" s="45">
        <f t="shared" si="77"/>
        <v>-100</v>
      </c>
      <c r="L174" s="83">
        <f>100-100</f>
        <v>0</v>
      </c>
      <c r="M174" s="84">
        <f>100-100</f>
        <v>0</v>
      </c>
      <c r="N174" s="84">
        <f>100-100</f>
        <v>0</v>
      </c>
      <c r="O174" s="38">
        <f t="shared" si="0"/>
        <v>0</v>
      </c>
    </row>
    <row r="175" spans="1:15" ht="36.75" customHeight="1">
      <c r="A175" s="39"/>
      <c r="B175" s="128" t="s">
        <v>260</v>
      </c>
      <c r="C175" s="21">
        <v>703</v>
      </c>
      <c r="D175" s="118" t="s">
        <v>115</v>
      </c>
      <c r="E175" s="118" t="s">
        <v>20</v>
      </c>
      <c r="F175" s="106" t="s">
        <v>261</v>
      </c>
      <c r="G175" s="118"/>
      <c r="H175" s="132">
        <f>H176</f>
        <v>0</v>
      </c>
      <c r="I175" s="132">
        <f>I176</f>
        <v>0</v>
      </c>
      <c r="J175" s="83">
        <f>J176</f>
        <v>474.8</v>
      </c>
      <c r="K175" s="45">
        <f t="shared" si="77"/>
        <v>474.8</v>
      </c>
      <c r="L175" s="97">
        <f>L176</f>
        <v>143.05298</v>
      </c>
      <c r="M175" s="84">
        <f>M176</f>
        <v>121.8</v>
      </c>
      <c r="N175" s="84">
        <f>N176</f>
        <v>121.8</v>
      </c>
      <c r="O175" s="38">
        <f t="shared" si="0"/>
        <v>-21.252979999999994</v>
      </c>
    </row>
    <row r="176" spans="1:15" ht="57" customHeight="1">
      <c r="A176" s="39"/>
      <c r="B176" s="128" t="s">
        <v>262</v>
      </c>
      <c r="C176" s="21">
        <v>703</v>
      </c>
      <c r="D176" s="118" t="s">
        <v>115</v>
      </c>
      <c r="E176" s="118" t="s">
        <v>20</v>
      </c>
      <c r="F176" s="106" t="s">
        <v>263</v>
      </c>
      <c r="G176" s="118" t="s">
        <v>30</v>
      </c>
      <c r="H176" s="132">
        <v>0</v>
      </c>
      <c r="I176" s="132">
        <v>0</v>
      </c>
      <c r="J176" s="83">
        <f>100+252.8+122</f>
        <v>474.8</v>
      </c>
      <c r="K176" s="45">
        <f t="shared" si="77"/>
        <v>474.8</v>
      </c>
      <c r="L176" s="97">
        <f>100+252.8+122-331.74702</f>
        <v>143.05298</v>
      </c>
      <c r="M176" s="84">
        <v>121.8</v>
      </c>
      <c r="N176" s="84">
        <v>121.8</v>
      </c>
      <c r="O176" s="100">
        <f t="shared" si="0"/>
        <v>-21.252979999999994</v>
      </c>
    </row>
    <row r="177" spans="1:15" ht="45" customHeight="1">
      <c r="A177" s="39"/>
      <c r="B177" s="128" t="s">
        <v>264</v>
      </c>
      <c r="C177" s="21">
        <v>703</v>
      </c>
      <c r="D177" s="118" t="s">
        <v>115</v>
      </c>
      <c r="E177" s="118" t="s">
        <v>20</v>
      </c>
      <c r="F177" s="106" t="s">
        <v>265</v>
      </c>
      <c r="G177" s="118"/>
      <c r="H177" s="82">
        <f aca="true" t="shared" si="78" ref="H177:H178">H178</f>
        <v>1520</v>
      </c>
      <c r="I177" s="82">
        <f aca="true" t="shared" si="79" ref="I177:I178">I178</f>
        <v>1520</v>
      </c>
      <c r="J177" s="97">
        <f aca="true" t="shared" si="80" ref="J177:J178">J178</f>
        <v>1520</v>
      </c>
      <c r="K177" s="36">
        <f t="shared" si="77"/>
        <v>0</v>
      </c>
      <c r="L177" s="97">
        <f aca="true" t="shared" si="81" ref="L177:L178">L178</f>
        <v>1820</v>
      </c>
      <c r="M177" s="84">
        <f aca="true" t="shared" si="82" ref="M177:M178">M178</f>
        <v>1657.72757</v>
      </c>
      <c r="N177" s="84">
        <f aca="true" t="shared" si="83" ref="N177:N178">N178</f>
        <v>1657.7</v>
      </c>
      <c r="O177" s="38">
        <f t="shared" si="0"/>
        <v>-162.27242999999999</v>
      </c>
    </row>
    <row r="178" spans="1:15" ht="30.75" customHeight="1">
      <c r="A178" s="39"/>
      <c r="B178" s="128" t="s">
        <v>266</v>
      </c>
      <c r="C178" s="21">
        <v>703</v>
      </c>
      <c r="D178" s="118" t="s">
        <v>115</v>
      </c>
      <c r="E178" s="118" t="s">
        <v>20</v>
      </c>
      <c r="F178" s="106" t="s">
        <v>267</v>
      </c>
      <c r="G178" s="118"/>
      <c r="H178" s="82">
        <f t="shared" si="78"/>
        <v>1520</v>
      </c>
      <c r="I178" s="82">
        <f t="shared" si="79"/>
        <v>1520</v>
      </c>
      <c r="J178" s="97">
        <f t="shared" si="80"/>
        <v>1520</v>
      </c>
      <c r="K178" s="36">
        <f t="shared" si="77"/>
        <v>0</v>
      </c>
      <c r="L178" s="97">
        <f t="shared" si="81"/>
        <v>1820</v>
      </c>
      <c r="M178" s="84">
        <f t="shared" si="82"/>
        <v>1657.72757</v>
      </c>
      <c r="N178" s="84">
        <f t="shared" si="83"/>
        <v>1657.7</v>
      </c>
      <c r="O178" s="38">
        <f t="shared" si="0"/>
        <v>-162.27242999999999</v>
      </c>
    </row>
    <row r="179" spans="1:15" ht="33" customHeight="1">
      <c r="A179" s="39"/>
      <c r="B179" s="116" t="s">
        <v>268</v>
      </c>
      <c r="C179" s="21">
        <v>703</v>
      </c>
      <c r="D179" s="118" t="s">
        <v>115</v>
      </c>
      <c r="E179" s="118" t="s">
        <v>20</v>
      </c>
      <c r="F179" s="106" t="s">
        <v>269</v>
      </c>
      <c r="G179" s="118" t="s">
        <v>30</v>
      </c>
      <c r="H179" s="132">
        <v>1520</v>
      </c>
      <c r="I179" s="132">
        <v>1520</v>
      </c>
      <c r="J179" s="97">
        <f>1520-893.45707-2.37759+895.83466</f>
        <v>1520</v>
      </c>
      <c r="K179" s="36">
        <f t="shared" si="77"/>
        <v>0</v>
      </c>
      <c r="L179" s="97">
        <f>1520-893.45707-2.37759+895.83466+300</f>
        <v>1820</v>
      </c>
      <c r="M179" s="84">
        <f>1520-893.45707-2.37759+895.83466+300-162.27243</f>
        <v>1657.72757</v>
      </c>
      <c r="N179" s="84">
        <v>1657.7</v>
      </c>
      <c r="O179" s="100">
        <f t="shared" si="0"/>
        <v>-162.27242999999999</v>
      </c>
    </row>
    <row r="180" spans="1:15" ht="30.75" customHeight="1">
      <c r="A180" s="39"/>
      <c r="B180" s="40" t="s">
        <v>270</v>
      </c>
      <c r="C180" s="21">
        <v>703</v>
      </c>
      <c r="D180" s="76" t="s">
        <v>115</v>
      </c>
      <c r="E180" s="76" t="s">
        <v>115</v>
      </c>
      <c r="F180" s="77"/>
      <c r="G180" s="76"/>
      <c r="H180" s="78">
        <f>H181</f>
        <v>1767.3</v>
      </c>
      <c r="I180" s="78">
        <f>I181</f>
        <v>1767.3</v>
      </c>
      <c r="J180" s="141">
        <f>J181</f>
        <v>1767.3</v>
      </c>
      <c r="K180" s="45">
        <f t="shared" si="77"/>
        <v>0</v>
      </c>
      <c r="L180" s="141">
        <f>L181</f>
        <v>1767.3</v>
      </c>
      <c r="M180" s="80">
        <f>M181</f>
        <v>1784.88446</v>
      </c>
      <c r="N180" s="80">
        <f>N181</f>
        <v>1784.9</v>
      </c>
      <c r="O180" s="38">
        <f t="shared" si="0"/>
        <v>17.584460000000036</v>
      </c>
    </row>
    <row r="181" spans="1:15" ht="69.75" customHeight="1">
      <c r="A181" s="39"/>
      <c r="B181" s="74" t="s">
        <v>59</v>
      </c>
      <c r="C181" s="21">
        <v>703</v>
      </c>
      <c r="D181" s="59" t="s">
        <v>115</v>
      </c>
      <c r="E181" s="59" t="s">
        <v>115</v>
      </c>
      <c r="F181" s="60" t="s">
        <v>60</v>
      </c>
      <c r="G181" s="59"/>
      <c r="H181" s="61">
        <f>H183</f>
        <v>1767.3</v>
      </c>
      <c r="I181" s="61">
        <f>I183</f>
        <v>1767.3</v>
      </c>
      <c r="J181" s="66">
        <f>J183</f>
        <v>1767.3</v>
      </c>
      <c r="K181" s="45">
        <f t="shared" si="77"/>
        <v>0</v>
      </c>
      <c r="L181" s="66">
        <f>L183</f>
        <v>1767.3</v>
      </c>
      <c r="M181" s="63">
        <f>M183</f>
        <v>1784.88446</v>
      </c>
      <c r="N181" s="63">
        <f>N183</f>
        <v>1784.9</v>
      </c>
      <c r="O181" s="38">
        <f t="shared" si="0"/>
        <v>17.584460000000036</v>
      </c>
    </row>
    <row r="182" spans="1:15" ht="33.75" customHeight="1">
      <c r="A182" s="39"/>
      <c r="B182" s="52" t="s">
        <v>168</v>
      </c>
      <c r="C182" s="21">
        <v>703</v>
      </c>
      <c r="D182" s="59" t="s">
        <v>115</v>
      </c>
      <c r="E182" s="59" t="s">
        <v>115</v>
      </c>
      <c r="F182" s="60" t="s">
        <v>62</v>
      </c>
      <c r="G182" s="59"/>
      <c r="H182" s="61">
        <f>H183</f>
        <v>1767.3</v>
      </c>
      <c r="I182" s="61">
        <f>I183</f>
        <v>1767.3</v>
      </c>
      <c r="J182" s="66">
        <f>J183</f>
        <v>1767.3</v>
      </c>
      <c r="K182" s="45">
        <f t="shared" si="77"/>
        <v>0</v>
      </c>
      <c r="L182" s="66">
        <f>L183</f>
        <v>1767.3</v>
      </c>
      <c r="M182" s="63">
        <f>M183</f>
        <v>1784.88446</v>
      </c>
      <c r="N182" s="63">
        <f>N183</f>
        <v>1784.9</v>
      </c>
      <c r="O182" s="38">
        <f t="shared" si="0"/>
        <v>17.584460000000036</v>
      </c>
    </row>
    <row r="183" spans="1:15" ht="94.5" customHeight="1">
      <c r="A183" s="39"/>
      <c r="B183" s="52" t="s">
        <v>63</v>
      </c>
      <c r="C183" s="21">
        <v>703</v>
      </c>
      <c r="D183" s="59" t="s">
        <v>115</v>
      </c>
      <c r="E183" s="59" t="s">
        <v>115</v>
      </c>
      <c r="F183" s="60" t="s">
        <v>64</v>
      </c>
      <c r="G183" s="59" t="s">
        <v>27</v>
      </c>
      <c r="H183" s="65">
        <v>1767.3</v>
      </c>
      <c r="I183" s="65">
        <v>1767.3</v>
      </c>
      <c r="J183" s="66">
        <v>1767.3</v>
      </c>
      <c r="K183" s="45">
        <f t="shared" si="77"/>
        <v>0</v>
      </c>
      <c r="L183" s="66">
        <v>1767.3</v>
      </c>
      <c r="M183" s="63">
        <f>1767.3+13.50573+4.07873</f>
        <v>1784.88446</v>
      </c>
      <c r="N183" s="63">
        <v>1784.9</v>
      </c>
      <c r="O183" s="38">
        <f t="shared" si="0"/>
        <v>17.584460000000036</v>
      </c>
    </row>
    <row r="184" spans="1:15" ht="15" customHeight="1">
      <c r="A184" s="39"/>
      <c r="B184" s="142" t="s">
        <v>271</v>
      </c>
      <c r="C184" s="21">
        <v>703</v>
      </c>
      <c r="D184" s="76" t="s">
        <v>221</v>
      </c>
      <c r="E184" s="59"/>
      <c r="F184" s="60"/>
      <c r="G184" s="59"/>
      <c r="H184" s="78">
        <f aca="true" t="shared" si="84" ref="H184:H187">H185</f>
        <v>100</v>
      </c>
      <c r="I184" s="78">
        <f aca="true" t="shared" si="85" ref="I184:I187">I185</f>
        <v>100</v>
      </c>
      <c r="J184" s="79">
        <f aca="true" t="shared" si="86" ref="J184:J187">J185</f>
        <v>100</v>
      </c>
      <c r="K184" s="45">
        <f t="shared" si="77"/>
        <v>0</v>
      </c>
      <c r="L184" s="79">
        <f aca="true" t="shared" si="87" ref="L184:L187">L185</f>
        <v>100</v>
      </c>
      <c r="M184" s="80">
        <f aca="true" t="shared" si="88" ref="M184:M187">M185</f>
        <v>60</v>
      </c>
      <c r="N184" s="80">
        <f aca="true" t="shared" si="89" ref="N184:N187">N185</f>
        <v>60</v>
      </c>
      <c r="O184" s="38">
        <f t="shared" si="0"/>
        <v>-40</v>
      </c>
    </row>
    <row r="185" spans="1:15" ht="21.75" customHeight="1">
      <c r="A185" s="39"/>
      <c r="B185" s="52" t="s">
        <v>272</v>
      </c>
      <c r="C185" s="21">
        <v>703</v>
      </c>
      <c r="D185" s="59" t="s">
        <v>221</v>
      </c>
      <c r="E185" s="59" t="s">
        <v>115</v>
      </c>
      <c r="F185" s="60"/>
      <c r="G185" s="59"/>
      <c r="H185" s="61">
        <f t="shared" si="84"/>
        <v>100</v>
      </c>
      <c r="I185" s="61">
        <f t="shared" si="85"/>
        <v>100</v>
      </c>
      <c r="J185" s="66">
        <f t="shared" si="86"/>
        <v>100</v>
      </c>
      <c r="K185" s="45">
        <f t="shared" si="77"/>
        <v>0</v>
      </c>
      <c r="L185" s="66">
        <f t="shared" si="87"/>
        <v>100</v>
      </c>
      <c r="M185" s="63">
        <f t="shared" si="88"/>
        <v>60</v>
      </c>
      <c r="N185" s="63">
        <f t="shared" si="89"/>
        <v>60</v>
      </c>
      <c r="O185" s="38">
        <f t="shared" si="0"/>
        <v>-40</v>
      </c>
    </row>
    <row r="186" spans="1:15" ht="56.25" customHeight="1">
      <c r="A186" s="39"/>
      <c r="B186" s="74" t="s">
        <v>116</v>
      </c>
      <c r="C186" s="21">
        <v>703</v>
      </c>
      <c r="D186" s="59" t="s">
        <v>221</v>
      </c>
      <c r="E186" s="59" t="s">
        <v>115</v>
      </c>
      <c r="F186" s="60" t="s">
        <v>221</v>
      </c>
      <c r="G186" s="59"/>
      <c r="H186" s="107">
        <f t="shared" si="84"/>
        <v>100</v>
      </c>
      <c r="I186" s="107">
        <f t="shared" si="85"/>
        <v>100</v>
      </c>
      <c r="J186" s="122">
        <f t="shared" si="86"/>
        <v>100</v>
      </c>
      <c r="K186" s="45">
        <f t="shared" si="77"/>
        <v>0</v>
      </c>
      <c r="L186" s="122">
        <f t="shared" si="87"/>
        <v>100</v>
      </c>
      <c r="M186" s="109">
        <f t="shared" si="88"/>
        <v>60</v>
      </c>
      <c r="N186" s="109">
        <f t="shared" si="89"/>
        <v>60</v>
      </c>
      <c r="O186" s="143">
        <f t="shared" si="0"/>
        <v>-40</v>
      </c>
    </row>
    <row r="187" spans="1:15" ht="30.75" customHeight="1">
      <c r="A187" s="39"/>
      <c r="B187" s="52" t="s">
        <v>273</v>
      </c>
      <c r="C187" s="21">
        <v>703</v>
      </c>
      <c r="D187" s="59" t="s">
        <v>221</v>
      </c>
      <c r="E187" s="59" t="s">
        <v>115</v>
      </c>
      <c r="F187" s="60" t="s">
        <v>274</v>
      </c>
      <c r="G187" s="59"/>
      <c r="H187" s="61">
        <f t="shared" si="84"/>
        <v>100</v>
      </c>
      <c r="I187" s="61">
        <f t="shared" si="85"/>
        <v>100</v>
      </c>
      <c r="J187" s="66">
        <f t="shared" si="86"/>
        <v>100</v>
      </c>
      <c r="K187" s="45">
        <f t="shared" si="77"/>
        <v>0</v>
      </c>
      <c r="L187" s="66">
        <f t="shared" si="87"/>
        <v>100</v>
      </c>
      <c r="M187" s="63">
        <f t="shared" si="88"/>
        <v>60</v>
      </c>
      <c r="N187" s="63">
        <f t="shared" si="89"/>
        <v>60</v>
      </c>
      <c r="O187" s="38">
        <f t="shared" si="0"/>
        <v>-40</v>
      </c>
    </row>
    <row r="188" spans="1:15" ht="32.25" customHeight="1">
      <c r="A188" s="39"/>
      <c r="B188" s="52" t="s">
        <v>275</v>
      </c>
      <c r="C188" s="21">
        <v>703</v>
      </c>
      <c r="D188" s="59" t="s">
        <v>221</v>
      </c>
      <c r="E188" s="59" t="s">
        <v>115</v>
      </c>
      <c r="F188" s="60" t="s">
        <v>276</v>
      </c>
      <c r="G188" s="59" t="s">
        <v>30</v>
      </c>
      <c r="H188" s="65">
        <v>100</v>
      </c>
      <c r="I188" s="65">
        <v>100</v>
      </c>
      <c r="J188" s="66">
        <v>100</v>
      </c>
      <c r="K188" s="45">
        <f t="shared" si="77"/>
        <v>0</v>
      </c>
      <c r="L188" s="66">
        <v>100</v>
      </c>
      <c r="M188" s="63">
        <f>100-40</f>
        <v>60</v>
      </c>
      <c r="N188" s="63">
        <f>100-40</f>
        <v>60</v>
      </c>
      <c r="O188" s="100">
        <f t="shared" si="0"/>
        <v>-40</v>
      </c>
    </row>
    <row r="189" spans="1:15" ht="16.5">
      <c r="A189" s="39"/>
      <c r="B189" s="40" t="s">
        <v>277</v>
      </c>
      <c r="C189" s="21">
        <v>703</v>
      </c>
      <c r="D189" s="76" t="s">
        <v>150</v>
      </c>
      <c r="E189" s="76"/>
      <c r="F189" s="60"/>
      <c r="G189" s="59"/>
      <c r="H189" s="78">
        <f>H190</f>
        <v>18674.87</v>
      </c>
      <c r="I189" s="78">
        <f>I190</f>
        <v>18674.87</v>
      </c>
      <c r="J189" s="141">
        <f>J190</f>
        <v>18674.87</v>
      </c>
      <c r="K189" s="45">
        <f t="shared" si="77"/>
        <v>0</v>
      </c>
      <c r="L189" s="141">
        <f>L190</f>
        <v>18674.87</v>
      </c>
      <c r="M189" s="80">
        <f>M190</f>
        <v>17883.48446</v>
      </c>
      <c r="N189" s="80">
        <f>N190</f>
        <v>17858.3695</v>
      </c>
      <c r="O189" s="38">
        <f t="shared" si="0"/>
        <v>-791.3855399999993</v>
      </c>
    </row>
    <row r="190" spans="1:15" ht="16.5">
      <c r="A190" s="39"/>
      <c r="B190" s="40" t="s">
        <v>278</v>
      </c>
      <c r="C190" s="21">
        <v>703</v>
      </c>
      <c r="D190" s="76" t="s">
        <v>150</v>
      </c>
      <c r="E190" s="76" t="s">
        <v>18</v>
      </c>
      <c r="F190" s="77"/>
      <c r="G190" s="76"/>
      <c r="H190" s="78">
        <f>H194+H207+H191+H197+H203</f>
        <v>18674.87</v>
      </c>
      <c r="I190" s="78">
        <f>I194+I207+I191+I197+I203</f>
        <v>18674.87</v>
      </c>
      <c r="J190" s="141">
        <f>J194+J207+J191+J197+J203</f>
        <v>18674.87</v>
      </c>
      <c r="K190" s="45">
        <f t="shared" si="77"/>
        <v>0</v>
      </c>
      <c r="L190" s="141">
        <f>L194+L207+L191+L197+L203</f>
        <v>18674.87</v>
      </c>
      <c r="M190" s="80">
        <f>M194+M207+M191+M197+M203</f>
        <v>17883.48446</v>
      </c>
      <c r="N190" s="80">
        <f>N194+N207+N191+N197+N203</f>
        <v>17858.3695</v>
      </c>
      <c r="O190" s="38">
        <f t="shared" si="0"/>
        <v>-791.3855399999993</v>
      </c>
    </row>
    <row r="191" spans="1:15" ht="59.25" customHeight="1">
      <c r="A191" s="39"/>
      <c r="B191" s="144" t="s">
        <v>279</v>
      </c>
      <c r="C191" s="21">
        <v>703</v>
      </c>
      <c r="D191" s="145" t="s">
        <v>150</v>
      </c>
      <c r="E191" s="59" t="s">
        <v>18</v>
      </c>
      <c r="F191" s="60" t="s">
        <v>280</v>
      </c>
      <c r="G191" s="76"/>
      <c r="H191" s="65">
        <f aca="true" t="shared" si="90" ref="H191:H192">H192</f>
        <v>94.5</v>
      </c>
      <c r="I191" s="65">
        <f aca="true" t="shared" si="91" ref="I191:I192">I192</f>
        <v>94.5</v>
      </c>
      <c r="J191" s="66">
        <f aca="true" t="shared" si="92" ref="J191:J192">J192</f>
        <v>94.5</v>
      </c>
      <c r="K191" s="45">
        <f t="shared" si="77"/>
        <v>0</v>
      </c>
      <c r="L191" s="66">
        <f aca="true" t="shared" si="93" ref="L191:L192">L192</f>
        <v>94.5</v>
      </c>
      <c r="M191" s="63">
        <f aca="true" t="shared" si="94" ref="M191:M192">M192</f>
        <v>94.5</v>
      </c>
      <c r="N191" s="63">
        <f aca="true" t="shared" si="95" ref="N191:N192">N192</f>
        <v>94.5</v>
      </c>
      <c r="O191" s="38">
        <f t="shared" si="0"/>
        <v>0</v>
      </c>
    </row>
    <row r="192" spans="1:15" ht="30.75" customHeight="1">
      <c r="A192" s="39"/>
      <c r="B192" s="144" t="s">
        <v>281</v>
      </c>
      <c r="C192" s="21">
        <v>703</v>
      </c>
      <c r="D192" s="145" t="s">
        <v>150</v>
      </c>
      <c r="E192" s="59" t="s">
        <v>18</v>
      </c>
      <c r="F192" s="60" t="s">
        <v>282</v>
      </c>
      <c r="G192" s="59"/>
      <c r="H192" s="65">
        <f t="shared" si="90"/>
        <v>94.5</v>
      </c>
      <c r="I192" s="65">
        <f t="shared" si="91"/>
        <v>94.5</v>
      </c>
      <c r="J192" s="66">
        <f t="shared" si="92"/>
        <v>94.5</v>
      </c>
      <c r="K192" s="45">
        <f t="shared" si="77"/>
        <v>0</v>
      </c>
      <c r="L192" s="66">
        <f t="shared" si="93"/>
        <v>94.5</v>
      </c>
      <c r="M192" s="63">
        <f t="shared" si="94"/>
        <v>94.5</v>
      </c>
      <c r="N192" s="63">
        <f t="shared" si="95"/>
        <v>94.5</v>
      </c>
      <c r="O192" s="38">
        <f t="shared" si="0"/>
        <v>0</v>
      </c>
    </row>
    <row r="193" spans="1:15" ht="47.25" customHeight="1">
      <c r="A193" s="39"/>
      <c r="B193" s="144" t="s">
        <v>283</v>
      </c>
      <c r="C193" s="21">
        <v>703</v>
      </c>
      <c r="D193" s="145" t="s">
        <v>150</v>
      </c>
      <c r="E193" s="59" t="s">
        <v>18</v>
      </c>
      <c r="F193" s="60" t="s">
        <v>284</v>
      </c>
      <c r="G193" s="59" t="s">
        <v>209</v>
      </c>
      <c r="H193" s="65">
        <v>94.5</v>
      </c>
      <c r="I193" s="65">
        <v>94.5</v>
      </c>
      <c r="J193" s="66">
        <v>94.5</v>
      </c>
      <c r="K193" s="45">
        <f t="shared" si="77"/>
        <v>0</v>
      </c>
      <c r="L193" s="66">
        <v>94.5</v>
      </c>
      <c r="M193" s="63">
        <v>94.5</v>
      </c>
      <c r="N193" s="63">
        <v>94.5</v>
      </c>
      <c r="O193" s="38">
        <f t="shared" si="0"/>
        <v>0</v>
      </c>
    </row>
    <row r="194" spans="1:15" ht="66.75" customHeight="1">
      <c r="A194" s="39"/>
      <c r="B194" s="74" t="s">
        <v>59</v>
      </c>
      <c r="C194" s="21">
        <v>703</v>
      </c>
      <c r="D194" s="59" t="s">
        <v>150</v>
      </c>
      <c r="E194" s="59" t="s">
        <v>18</v>
      </c>
      <c r="F194" s="60" t="s">
        <v>60</v>
      </c>
      <c r="G194" s="59"/>
      <c r="H194" s="61">
        <f aca="true" t="shared" si="96" ref="H194:H195">H195</f>
        <v>2525.5</v>
      </c>
      <c r="I194" s="61">
        <f aca="true" t="shared" si="97" ref="I194:I195">I195</f>
        <v>2525.5</v>
      </c>
      <c r="J194" s="66">
        <f aca="true" t="shared" si="98" ref="J194:J195">J195</f>
        <v>2525.5</v>
      </c>
      <c r="K194" s="45">
        <f t="shared" si="77"/>
        <v>0</v>
      </c>
      <c r="L194" s="66">
        <f aca="true" t="shared" si="99" ref="L194:L195">L195</f>
        <v>2525.5</v>
      </c>
      <c r="M194" s="63">
        <f aca="true" t="shared" si="100" ref="M194:M195">M195</f>
        <v>2101.1</v>
      </c>
      <c r="N194" s="63">
        <f aca="true" t="shared" si="101" ref="N194:N195">N195</f>
        <v>2101.1</v>
      </c>
      <c r="O194" s="38">
        <f t="shared" si="0"/>
        <v>-424.4000000000001</v>
      </c>
    </row>
    <row r="195" spans="1:15" ht="30.75" customHeight="1">
      <c r="A195" s="39"/>
      <c r="B195" s="52" t="s">
        <v>168</v>
      </c>
      <c r="C195" s="21">
        <v>703</v>
      </c>
      <c r="D195" s="59" t="s">
        <v>150</v>
      </c>
      <c r="E195" s="59" t="s">
        <v>18</v>
      </c>
      <c r="F195" s="60" t="s">
        <v>62</v>
      </c>
      <c r="G195" s="59"/>
      <c r="H195" s="61">
        <f t="shared" si="96"/>
        <v>2525.5</v>
      </c>
      <c r="I195" s="61">
        <f t="shared" si="97"/>
        <v>2525.5</v>
      </c>
      <c r="J195" s="66">
        <f t="shared" si="98"/>
        <v>2525.5</v>
      </c>
      <c r="K195" s="45">
        <f t="shared" si="77"/>
        <v>0</v>
      </c>
      <c r="L195" s="66">
        <f t="shared" si="99"/>
        <v>2525.5</v>
      </c>
      <c r="M195" s="63">
        <f t="shared" si="100"/>
        <v>2101.1</v>
      </c>
      <c r="N195" s="63">
        <f t="shared" si="101"/>
        <v>2101.1</v>
      </c>
      <c r="O195" s="38">
        <f t="shared" si="0"/>
        <v>-424.4000000000001</v>
      </c>
    </row>
    <row r="196" spans="1:15" ht="96" customHeight="1">
      <c r="A196" s="39"/>
      <c r="B196" s="52" t="s">
        <v>63</v>
      </c>
      <c r="C196" s="21">
        <v>703</v>
      </c>
      <c r="D196" s="59" t="s">
        <v>150</v>
      </c>
      <c r="E196" s="59" t="s">
        <v>18</v>
      </c>
      <c r="F196" s="60" t="s">
        <v>64</v>
      </c>
      <c r="G196" s="59" t="s">
        <v>27</v>
      </c>
      <c r="H196" s="65">
        <v>2525.5</v>
      </c>
      <c r="I196" s="65">
        <v>2525.5</v>
      </c>
      <c r="J196" s="66">
        <v>2525.5</v>
      </c>
      <c r="K196" s="45">
        <f t="shared" si="77"/>
        <v>0</v>
      </c>
      <c r="L196" s="66">
        <v>2525.5</v>
      </c>
      <c r="M196" s="63">
        <f>2525.5-126.3-28.1-200-70</f>
        <v>2101.1</v>
      </c>
      <c r="N196" s="63">
        <f>2525.5-126.3-28.1-200-70</f>
        <v>2101.1</v>
      </c>
      <c r="O196" s="38">
        <f t="shared" si="0"/>
        <v>-424.4000000000001</v>
      </c>
    </row>
    <row r="197" spans="1:15" ht="59.25" customHeight="1">
      <c r="A197" s="39"/>
      <c r="B197" s="89" t="s">
        <v>285</v>
      </c>
      <c r="C197" s="21">
        <v>703</v>
      </c>
      <c r="D197" s="145" t="s">
        <v>150</v>
      </c>
      <c r="E197" s="59" t="s">
        <v>18</v>
      </c>
      <c r="F197" s="60" t="s">
        <v>286</v>
      </c>
      <c r="G197" s="59"/>
      <c r="H197" s="65">
        <f>H198</f>
        <v>5039.7</v>
      </c>
      <c r="I197" s="65">
        <f>I198</f>
        <v>5039.7</v>
      </c>
      <c r="J197" s="66">
        <f>J198</f>
        <v>5427.5</v>
      </c>
      <c r="K197" s="45">
        <f t="shared" si="77"/>
        <v>387.8000000000002</v>
      </c>
      <c r="L197" s="66">
        <f>L198</f>
        <v>5427.5</v>
      </c>
      <c r="M197" s="63">
        <f>M198</f>
        <v>5434.341350000001</v>
      </c>
      <c r="N197" s="63">
        <f>N198</f>
        <v>5434.341350000001</v>
      </c>
      <c r="O197" s="38">
        <f t="shared" si="0"/>
        <v>6.8413500000006024</v>
      </c>
    </row>
    <row r="198" spans="1:15" ht="32.25" customHeight="1">
      <c r="A198" s="39"/>
      <c r="B198" s="89" t="s">
        <v>287</v>
      </c>
      <c r="C198" s="21">
        <v>703</v>
      </c>
      <c r="D198" s="145" t="s">
        <v>150</v>
      </c>
      <c r="E198" s="59" t="s">
        <v>18</v>
      </c>
      <c r="F198" s="60" t="s">
        <v>288</v>
      </c>
      <c r="G198" s="59"/>
      <c r="H198" s="65">
        <f>H199+H200</f>
        <v>5039.7</v>
      </c>
      <c r="I198" s="65">
        <f>I199+I200</f>
        <v>5039.7</v>
      </c>
      <c r="J198" s="66">
        <f>J199+J200</f>
        <v>5427.5</v>
      </c>
      <c r="K198" s="45">
        <f t="shared" si="77"/>
        <v>387.8000000000002</v>
      </c>
      <c r="L198" s="66">
        <f>L199+L200+L201</f>
        <v>5427.5</v>
      </c>
      <c r="M198" s="63">
        <f>M199+M200+M201+M202</f>
        <v>5434.341350000001</v>
      </c>
      <c r="N198" s="63">
        <f>N199+N200+N201+N202</f>
        <v>5434.341350000001</v>
      </c>
      <c r="O198" s="38">
        <f t="shared" si="0"/>
        <v>6.8413500000006024</v>
      </c>
    </row>
    <row r="199" spans="1:15" ht="75" customHeight="1" hidden="1">
      <c r="A199" s="39"/>
      <c r="B199" s="74" t="s">
        <v>289</v>
      </c>
      <c r="C199" s="21">
        <v>703</v>
      </c>
      <c r="D199" s="145" t="s">
        <v>150</v>
      </c>
      <c r="E199" s="59" t="s">
        <v>18</v>
      </c>
      <c r="F199" s="106" t="s">
        <v>290</v>
      </c>
      <c r="G199" s="59" t="s">
        <v>209</v>
      </c>
      <c r="H199" s="65">
        <v>4774</v>
      </c>
      <c r="I199" s="65">
        <v>4774</v>
      </c>
      <c r="J199" s="66">
        <v>4774</v>
      </c>
      <c r="K199" s="45">
        <f t="shared" si="77"/>
        <v>0</v>
      </c>
      <c r="L199" s="66">
        <f>4774-4774</f>
        <v>0</v>
      </c>
      <c r="M199" s="63">
        <f>4774-4774</f>
        <v>0</v>
      </c>
      <c r="N199" s="63">
        <f>4774-4774</f>
        <v>0</v>
      </c>
      <c r="O199" s="38">
        <f t="shared" si="0"/>
        <v>0</v>
      </c>
    </row>
    <row r="200" spans="1:15" ht="70.5" customHeight="1">
      <c r="A200" s="39"/>
      <c r="B200" s="74" t="s">
        <v>291</v>
      </c>
      <c r="C200" s="21">
        <v>703</v>
      </c>
      <c r="D200" s="145" t="s">
        <v>150</v>
      </c>
      <c r="E200" s="59" t="s">
        <v>18</v>
      </c>
      <c r="F200" s="106" t="s">
        <v>292</v>
      </c>
      <c r="G200" s="59" t="s">
        <v>209</v>
      </c>
      <c r="H200" s="65">
        <v>265.7</v>
      </c>
      <c r="I200" s="65">
        <v>265.7</v>
      </c>
      <c r="J200" s="66">
        <f>265.7+274+113.8</f>
        <v>653.5</v>
      </c>
      <c r="K200" s="45">
        <f t="shared" si="77"/>
        <v>387.8</v>
      </c>
      <c r="L200" s="66">
        <f>265.7+274+113.8-653.5</f>
        <v>0</v>
      </c>
      <c r="M200" s="63">
        <f>265.7+274+113.8-653.5+120.68435</f>
        <v>120.68435</v>
      </c>
      <c r="N200" s="63">
        <f>265.7+274+113.8-653.5+120.68435</f>
        <v>120.68435</v>
      </c>
      <c r="O200" s="38">
        <f t="shared" si="0"/>
        <v>120.68435</v>
      </c>
    </row>
    <row r="201" spans="1:15" ht="73.5" customHeight="1" hidden="1">
      <c r="A201" s="39"/>
      <c r="B201" s="74" t="s">
        <v>293</v>
      </c>
      <c r="C201" s="21">
        <v>703</v>
      </c>
      <c r="D201" s="145" t="s">
        <v>150</v>
      </c>
      <c r="E201" s="59" t="s">
        <v>18</v>
      </c>
      <c r="F201" s="106" t="s">
        <v>294</v>
      </c>
      <c r="G201" s="59" t="s">
        <v>209</v>
      </c>
      <c r="H201" s="65"/>
      <c r="I201" s="65"/>
      <c r="J201" s="66"/>
      <c r="K201" s="45"/>
      <c r="L201" s="66">
        <f>4774+653.5</f>
        <v>5427.5</v>
      </c>
      <c r="M201" s="63">
        <f>4774+653.5-5313.7-113.8</f>
        <v>0</v>
      </c>
      <c r="N201" s="63">
        <f>4774+653.5-5313.7-113.8</f>
        <v>0</v>
      </c>
      <c r="O201" s="38">
        <f t="shared" si="0"/>
        <v>-5427.5</v>
      </c>
    </row>
    <row r="202" spans="1:15" ht="72.75" customHeight="1">
      <c r="A202" s="39"/>
      <c r="B202" s="74" t="s">
        <v>293</v>
      </c>
      <c r="C202" s="21">
        <v>703</v>
      </c>
      <c r="D202" s="59" t="s">
        <v>150</v>
      </c>
      <c r="E202" s="59" t="s">
        <v>18</v>
      </c>
      <c r="F202" s="146" t="s">
        <v>295</v>
      </c>
      <c r="G202" s="59" t="s">
        <v>209</v>
      </c>
      <c r="H202" s="65"/>
      <c r="I202" s="65"/>
      <c r="J202" s="66"/>
      <c r="K202" s="45"/>
      <c r="L202" s="66"/>
      <c r="M202" s="63">
        <f>5313.7-0.043</f>
        <v>5313.657</v>
      </c>
      <c r="N202" s="63">
        <f>5313.7-0.043</f>
        <v>5313.657</v>
      </c>
      <c r="O202" s="38">
        <f t="shared" si="0"/>
        <v>5313.657</v>
      </c>
    </row>
    <row r="203" spans="1:15" ht="55.5" customHeight="1">
      <c r="A203" s="39"/>
      <c r="B203" s="74" t="s">
        <v>296</v>
      </c>
      <c r="C203" s="21">
        <v>703</v>
      </c>
      <c r="D203" s="59" t="s">
        <v>150</v>
      </c>
      <c r="E203" s="59" t="s">
        <v>18</v>
      </c>
      <c r="F203" s="146" t="s">
        <v>297</v>
      </c>
      <c r="G203" s="59"/>
      <c r="H203" s="65">
        <f aca="true" t="shared" si="102" ref="H203:H204">H204</f>
        <v>214.6</v>
      </c>
      <c r="I203" s="65">
        <f aca="true" t="shared" si="103" ref="I203:I204">I204</f>
        <v>214.6</v>
      </c>
      <c r="J203" s="66">
        <f aca="true" t="shared" si="104" ref="J203:J204">J204</f>
        <v>214.6</v>
      </c>
      <c r="K203" s="45">
        <f aca="true" t="shared" si="105" ref="K203:K205">J203-I203</f>
        <v>0</v>
      </c>
      <c r="L203" s="66">
        <f aca="true" t="shared" si="106" ref="L203:L204">L204</f>
        <v>214.6</v>
      </c>
      <c r="M203" s="63">
        <f aca="true" t="shared" si="107" ref="M203:M204">M204</f>
        <v>174.60814999999997</v>
      </c>
      <c r="N203" s="63">
        <f aca="true" t="shared" si="108" ref="N203:N204">N204</f>
        <v>174.60814999999997</v>
      </c>
      <c r="O203" s="38">
        <f t="shared" si="0"/>
        <v>-39.99185000000003</v>
      </c>
    </row>
    <row r="204" spans="1:15" ht="32.25" customHeight="1">
      <c r="A204" s="39"/>
      <c r="B204" s="74" t="s">
        <v>298</v>
      </c>
      <c r="C204" s="21">
        <v>703</v>
      </c>
      <c r="D204" s="59" t="s">
        <v>150</v>
      </c>
      <c r="E204" s="59" t="s">
        <v>18</v>
      </c>
      <c r="F204" s="146" t="s">
        <v>299</v>
      </c>
      <c r="G204" s="59"/>
      <c r="H204" s="65">
        <f t="shared" si="102"/>
        <v>214.6</v>
      </c>
      <c r="I204" s="65">
        <f t="shared" si="103"/>
        <v>214.6</v>
      </c>
      <c r="J204" s="66">
        <f t="shared" si="104"/>
        <v>214.6</v>
      </c>
      <c r="K204" s="45">
        <f t="shared" si="105"/>
        <v>0</v>
      </c>
      <c r="L204" s="66">
        <f t="shared" si="106"/>
        <v>214.6</v>
      </c>
      <c r="M204" s="63">
        <f t="shared" si="107"/>
        <v>174.60814999999997</v>
      </c>
      <c r="N204" s="63">
        <f t="shared" si="108"/>
        <v>174.60814999999997</v>
      </c>
      <c r="O204" s="38">
        <f t="shared" si="0"/>
        <v>-39.99185000000003</v>
      </c>
    </row>
    <row r="205" spans="1:15" ht="68.25" customHeight="1">
      <c r="A205" s="39"/>
      <c r="B205" s="74" t="s">
        <v>300</v>
      </c>
      <c r="C205" s="21">
        <v>703</v>
      </c>
      <c r="D205" s="59" t="s">
        <v>150</v>
      </c>
      <c r="E205" s="59" t="s">
        <v>18</v>
      </c>
      <c r="F205" s="146" t="s">
        <v>301</v>
      </c>
      <c r="G205" s="59" t="s">
        <v>209</v>
      </c>
      <c r="H205" s="65">
        <f>40+174.6</f>
        <v>214.6</v>
      </c>
      <c r="I205" s="65">
        <f>40+174.6</f>
        <v>214.6</v>
      </c>
      <c r="J205" s="66">
        <f>40+174.6</f>
        <v>214.6</v>
      </c>
      <c r="K205" s="45">
        <f t="shared" si="105"/>
        <v>0</v>
      </c>
      <c r="L205" s="66">
        <f>40+174.6</f>
        <v>214.6</v>
      </c>
      <c r="M205" s="63">
        <f>40+174.6-6.88435-33.1075</f>
        <v>174.60814999999997</v>
      </c>
      <c r="N205" s="63">
        <f>40+174.6-6.88435-33.1075</f>
        <v>174.60814999999997</v>
      </c>
      <c r="O205" s="38">
        <f t="shared" si="0"/>
        <v>-39.99185000000003</v>
      </c>
    </row>
    <row r="206" spans="1:15" ht="80.25" customHeight="1" hidden="1">
      <c r="A206" s="39"/>
      <c r="B206" s="74"/>
      <c r="C206" s="21">
        <v>703</v>
      </c>
      <c r="D206" s="59"/>
      <c r="E206" s="59"/>
      <c r="F206" s="146"/>
      <c r="G206" s="59"/>
      <c r="H206" s="65"/>
      <c r="I206" s="65"/>
      <c r="J206" s="66"/>
      <c r="K206" s="45"/>
      <c r="L206" s="66"/>
      <c r="M206" s="63"/>
      <c r="N206" s="63"/>
      <c r="O206" s="38"/>
    </row>
    <row r="207" spans="1:15" ht="16.5">
      <c r="A207" s="39"/>
      <c r="B207" s="147" t="s">
        <v>21</v>
      </c>
      <c r="C207" s="21">
        <v>703</v>
      </c>
      <c r="D207" s="90" t="s">
        <v>150</v>
      </c>
      <c r="E207" s="90" t="s">
        <v>18</v>
      </c>
      <c r="F207" s="91" t="s">
        <v>22</v>
      </c>
      <c r="G207" s="90"/>
      <c r="H207" s="92">
        <f>H208</f>
        <v>10800.57</v>
      </c>
      <c r="I207" s="92">
        <f>I208</f>
        <v>10800.57</v>
      </c>
      <c r="J207" s="93">
        <f>J208</f>
        <v>10412.77</v>
      </c>
      <c r="K207" s="45">
        <f aca="true" t="shared" si="109" ref="K207:K212">J207-I207</f>
        <v>-387.7999999999993</v>
      </c>
      <c r="L207" s="93">
        <f>L208</f>
        <v>10412.77</v>
      </c>
      <c r="M207" s="94">
        <f>M208</f>
        <v>10078.93496</v>
      </c>
      <c r="N207" s="94">
        <f>N208</f>
        <v>10053.82</v>
      </c>
      <c r="O207" s="38">
        <f aca="true" t="shared" si="110" ref="O207:O259">M207-L207</f>
        <v>-333.83503999999994</v>
      </c>
    </row>
    <row r="208" spans="1:15" ht="16.5">
      <c r="A208" s="39"/>
      <c r="B208" s="148" t="s">
        <v>23</v>
      </c>
      <c r="C208" s="21">
        <v>703</v>
      </c>
      <c r="D208" s="59" t="s">
        <v>150</v>
      </c>
      <c r="E208" s="59" t="s">
        <v>18</v>
      </c>
      <c r="F208" s="60" t="s">
        <v>24</v>
      </c>
      <c r="G208" s="59"/>
      <c r="H208" s="61">
        <f>SUM(H209:H212)</f>
        <v>10800.57</v>
      </c>
      <c r="I208" s="61">
        <f>SUM(I209:I212)</f>
        <v>10800.57</v>
      </c>
      <c r="J208" s="66">
        <f>SUM(J209:J212)</f>
        <v>10412.77</v>
      </c>
      <c r="K208" s="45">
        <f t="shared" si="109"/>
        <v>-387.7999999999993</v>
      </c>
      <c r="L208" s="66">
        <f>SUM(L209:L213)</f>
        <v>10412.77</v>
      </c>
      <c r="M208" s="63">
        <f>SUM(M209:M213)</f>
        <v>10078.93496</v>
      </c>
      <c r="N208" s="63">
        <f>SUM(N209:N213)</f>
        <v>10053.82</v>
      </c>
      <c r="O208" s="38">
        <f t="shared" si="110"/>
        <v>-333.83503999999994</v>
      </c>
    </row>
    <row r="209" spans="1:15" ht="70.5" customHeight="1">
      <c r="A209" s="39"/>
      <c r="B209" s="52" t="s">
        <v>302</v>
      </c>
      <c r="C209" s="21">
        <v>703</v>
      </c>
      <c r="D209" s="59" t="s">
        <v>150</v>
      </c>
      <c r="E209" s="59" t="s">
        <v>18</v>
      </c>
      <c r="F209" s="60" t="s">
        <v>303</v>
      </c>
      <c r="G209" s="59" t="s">
        <v>209</v>
      </c>
      <c r="H209" s="65">
        <f>6040.13+0.02</f>
        <v>6040.150000000001</v>
      </c>
      <c r="I209" s="65">
        <f>6040.13+0.02</f>
        <v>6040.150000000001</v>
      </c>
      <c r="J209" s="66">
        <f>6040.13+0.02-274-113.8</f>
        <v>5652.35</v>
      </c>
      <c r="K209" s="45">
        <f t="shared" si="109"/>
        <v>-387.8000000000002</v>
      </c>
      <c r="L209" s="66">
        <f>6040.13+0.02-274-113.8</f>
        <v>5652.35</v>
      </c>
      <c r="M209" s="63">
        <f>6040.13+0.02-274-113.8+126.3+28.1-398.23504</f>
        <v>5408.51496</v>
      </c>
      <c r="N209" s="63">
        <v>5383.4</v>
      </c>
      <c r="O209" s="38">
        <f t="shared" si="110"/>
        <v>-243.83503999999994</v>
      </c>
    </row>
    <row r="210" spans="1:15" ht="68.25" customHeight="1">
      <c r="A210" s="39"/>
      <c r="B210" s="46" t="s">
        <v>304</v>
      </c>
      <c r="C210" s="21">
        <v>703</v>
      </c>
      <c r="D210" s="59" t="s">
        <v>150</v>
      </c>
      <c r="E210" s="59" t="s">
        <v>18</v>
      </c>
      <c r="F210" s="60" t="s">
        <v>305</v>
      </c>
      <c r="G210" s="59" t="s">
        <v>209</v>
      </c>
      <c r="H210" s="65">
        <v>1619.72</v>
      </c>
      <c r="I210" s="65">
        <v>1619.72</v>
      </c>
      <c r="J210" s="66">
        <v>1619.72</v>
      </c>
      <c r="K210" s="45">
        <f t="shared" si="109"/>
        <v>0</v>
      </c>
      <c r="L210" s="66">
        <v>1619.72</v>
      </c>
      <c r="M210" s="63">
        <f>1619.72-90</f>
        <v>1529.72</v>
      </c>
      <c r="N210" s="63">
        <f>1619.72-90</f>
        <v>1529.72</v>
      </c>
      <c r="O210" s="38">
        <f t="shared" si="110"/>
        <v>-90</v>
      </c>
    </row>
    <row r="211" spans="1:15" ht="58.5" customHeight="1" hidden="1">
      <c r="A211" s="39"/>
      <c r="B211" s="74" t="s">
        <v>306</v>
      </c>
      <c r="C211" s="21">
        <v>703</v>
      </c>
      <c r="D211" s="59" t="s">
        <v>150</v>
      </c>
      <c r="E211" s="59" t="s">
        <v>18</v>
      </c>
      <c r="F211" s="60" t="s">
        <v>307</v>
      </c>
      <c r="G211" s="59" t="s">
        <v>209</v>
      </c>
      <c r="H211" s="61">
        <v>157</v>
      </c>
      <c r="I211" s="61">
        <v>157</v>
      </c>
      <c r="J211" s="66">
        <v>157</v>
      </c>
      <c r="K211" s="45">
        <f t="shared" si="109"/>
        <v>0</v>
      </c>
      <c r="L211" s="66">
        <f>157-157</f>
        <v>0</v>
      </c>
      <c r="M211" s="63">
        <f>157-157</f>
        <v>0</v>
      </c>
      <c r="N211" s="63">
        <f>157-157</f>
        <v>0</v>
      </c>
      <c r="O211" s="38">
        <f t="shared" si="110"/>
        <v>0</v>
      </c>
    </row>
    <row r="212" spans="1:15" ht="64.5" customHeight="1" hidden="1">
      <c r="A212" s="39"/>
      <c r="B212" s="74" t="s">
        <v>308</v>
      </c>
      <c r="C212" s="21">
        <v>703</v>
      </c>
      <c r="D212" s="59" t="s">
        <v>150</v>
      </c>
      <c r="E212" s="59" t="s">
        <v>18</v>
      </c>
      <c r="F212" s="106" t="s">
        <v>309</v>
      </c>
      <c r="G212" s="59" t="s">
        <v>209</v>
      </c>
      <c r="H212" s="65">
        <v>2983.7</v>
      </c>
      <c r="I212" s="65">
        <v>2983.7</v>
      </c>
      <c r="J212" s="66">
        <v>2983.7</v>
      </c>
      <c r="K212" s="45">
        <f t="shared" si="109"/>
        <v>0</v>
      </c>
      <c r="L212" s="66">
        <f>2983.7-2983.7</f>
        <v>0</v>
      </c>
      <c r="M212" s="63">
        <f>2983.7-2983.7</f>
        <v>0</v>
      </c>
      <c r="N212" s="63">
        <f>2983.7-2983.7</f>
        <v>0</v>
      </c>
      <c r="O212" s="38">
        <f t="shared" si="110"/>
        <v>0</v>
      </c>
    </row>
    <row r="213" spans="1:15" ht="64.5" customHeight="1" hidden="1">
      <c r="A213" s="39"/>
      <c r="B213" s="74" t="s">
        <v>308</v>
      </c>
      <c r="C213" s="21">
        <v>703</v>
      </c>
      <c r="D213" s="59" t="s">
        <v>150</v>
      </c>
      <c r="E213" s="59" t="s">
        <v>18</v>
      </c>
      <c r="F213" s="106" t="s">
        <v>310</v>
      </c>
      <c r="G213" s="59" t="s">
        <v>209</v>
      </c>
      <c r="H213" s="65"/>
      <c r="I213" s="65"/>
      <c r="J213" s="66"/>
      <c r="K213" s="45"/>
      <c r="L213" s="62">
        <f>2983.7+157</f>
        <v>3140.7</v>
      </c>
      <c r="M213" s="63">
        <f>2983.7+157</f>
        <v>3140.7</v>
      </c>
      <c r="N213" s="63">
        <f>2983.7+157</f>
        <v>3140.7</v>
      </c>
      <c r="O213" s="38">
        <f t="shared" si="110"/>
        <v>0</v>
      </c>
    </row>
    <row r="214" spans="1:15" ht="15" customHeight="1">
      <c r="A214" s="39"/>
      <c r="B214" s="40" t="s">
        <v>311</v>
      </c>
      <c r="C214" s="21">
        <v>703</v>
      </c>
      <c r="D214" s="76" t="s">
        <v>160</v>
      </c>
      <c r="E214" s="76"/>
      <c r="F214" s="60"/>
      <c r="G214" s="59"/>
      <c r="H214" s="78">
        <f>H215+H219</f>
        <v>1826.8</v>
      </c>
      <c r="I214" s="78">
        <f>I215+I219</f>
        <v>1826.8</v>
      </c>
      <c r="J214" s="87">
        <f>J219+J239+J215</f>
        <v>54097.03856</v>
      </c>
      <c r="K214" s="36">
        <f aca="true" t="shared" si="111" ref="K214:K223">J214-I214</f>
        <v>52270.23856</v>
      </c>
      <c r="L214" s="87">
        <f>L219+L239+L215</f>
        <v>826.8</v>
      </c>
      <c r="M214" s="80">
        <f>M219+M239+M215</f>
        <v>799.1931500000001</v>
      </c>
      <c r="N214" s="80">
        <f>N219+N239+N215</f>
        <v>798.39315</v>
      </c>
      <c r="O214" s="38">
        <f t="shared" si="110"/>
        <v>-27.606849999999895</v>
      </c>
    </row>
    <row r="215" spans="1:15" ht="15" customHeight="1">
      <c r="A215" s="39"/>
      <c r="B215" s="40" t="s">
        <v>312</v>
      </c>
      <c r="C215" s="21">
        <v>703</v>
      </c>
      <c r="D215" s="76" t="s">
        <v>160</v>
      </c>
      <c r="E215" s="76" t="s">
        <v>18</v>
      </c>
      <c r="F215" s="77"/>
      <c r="G215" s="76"/>
      <c r="H215" s="61">
        <f aca="true" t="shared" si="112" ref="H215:H217">H216</f>
        <v>511</v>
      </c>
      <c r="I215" s="61">
        <f aca="true" t="shared" si="113" ref="I215:I217">I216</f>
        <v>511</v>
      </c>
      <c r="J215" s="129">
        <f aca="true" t="shared" si="114" ref="J215:J217">J216</f>
        <v>511</v>
      </c>
      <c r="K215" s="45">
        <f t="shared" si="111"/>
        <v>0</v>
      </c>
      <c r="L215" s="129">
        <f aca="true" t="shared" si="115" ref="L215:L217">L216</f>
        <v>511</v>
      </c>
      <c r="M215" s="63">
        <f aca="true" t="shared" si="116" ref="M215:M217">M216</f>
        <v>513.39315</v>
      </c>
      <c r="N215" s="63">
        <f aca="true" t="shared" si="117" ref="N215:N217">N216</f>
        <v>513.39315</v>
      </c>
      <c r="O215" s="38">
        <f t="shared" si="110"/>
        <v>2.3931499999999915</v>
      </c>
    </row>
    <row r="216" spans="1:15" ht="43.5" customHeight="1">
      <c r="A216" s="39"/>
      <c r="B216" s="74" t="s">
        <v>42</v>
      </c>
      <c r="C216" s="21">
        <v>703</v>
      </c>
      <c r="D216" s="59" t="s">
        <v>160</v>
      </c>
      <c r="E216" s="59" t="s">
        <v>18</v>
      </c>
      <c r="F216" s="60" t="s">
        <v>18</v>
      </c>
      <c r="G216" s="59"/>
      <c r="H216" s="61">
        <f t="shared" si="112"/>
        <v>511</v>
      </c>
      <c r="I216" s="61">
        <f t="shared" si="113"/>
        <v>511</v>
      </c>
      <c r="J216" s="129">
        <f t="shared" si="114"/>
        <v>511</v>
      </c>
      <c r="K216" s="45">
        <f t="shared" si="111"/>
        <v>0</v>
      </c>
      <c r="L216" s="129">
        <f t="shared" si="115"/>
        <v>511</v>
      </c>
      <c r="M216" s="63">
        <f t="shared" si="116"/>
        <v>513.39315</v>
      </c>
      <c r="N216" s="63">
        <f t="shared" si="117"/>
        <v>513.39315</v>
      </c>
      <c r="O216" s="38">
        <f t="shared" si="110"/>
        <v>2.3931499999999915</v>
      </c>
    </row>
    <row r="217" spans="1:15" ht="30.75" customHeight="1">
      <c r="A217" s="39"/>
      <c r="B217" s="52" t="s">
        <v>313</v>
      </c>
      <c r="C217" s="21">
        <v>703</v>
      </c>
      <c r="D217" s="59" t="s">
        <v>160</v>
      </c>
      <c r="E217" s="59" t="s">
        <v>18</v>
      </c>
      <c r="F217" s="60" t="s">
        <v>314</v>
      </c>
      <c r="G217" s="59"/>
      <c r="H217" s="61">
        <f t="shared" si="112"/>
        <v>511</v>
      </c>
      <c r="I217" s="61">
        <f t="shared" si="113"/>
        <v>511</v>
      </c>
      <c r="J217" s="129">
        <f t="shared" si="114"/>
        <v>511</v>
      </c>
      <c r="K217" s="45">
        <f t="shared" si="111"/>
        <v>0</v>
      </c>
      <c r="L217" s="129">
        <f t="shared" si="115"/>
        <v>511</v>
      </c>
      <c r="M217" s="63">
        <f t="shared" si="116"/>
        <v>513.39315</v>
      </c>
      <c r="N217" s="63">
        <f t="shared" si="117"/>
        <v>513.39315</v>
      </c>
      <c r="O217" s="38">
        <f t="shared" si="110"/>
        <v>2.3931499999999915</v>
      </c>
    </row>
    <row r="218" spans="1:15" ht="28.5" customHeight="1">
      <c r="A218" s="39"/>
      <c r="B218" s="52" t="s">
        <v>315</v>
      </c>
      <c r="C218" s="21">
        <v>703</v>
      </c>
      <c r="D218" s="59" t="s">
        <v>160</v>
      </c>
      <c r="E218" s="59" t="s">
        <v>18</v>
      </c>
      <c r="F218" s="60" t="s">
        <v>316</v>
      </c>
      <c r="G218" s="59" t="s">
        <v>317</v>
      </c>
      <c r="H218" s="65">
        <v>511</v>
      </c>
      <c r="I218" s="65">
        <v>511</v>
      </c>
      <c r="J218" s="129">
        <v>511</v>
      </c>
      <c r="K218" s="45">
        <f t="shared" si="111"/>
        <v>0</v>
      </c>
      <c r="L218" s="129">
        <v>511</v>
      </c>
      <c r="M218" s="63">
        <f>511+2.39315</f>
        <v>513.39315</v>
      </c>
      <c r="N218" s="63">
        <f>511+2.39315</f>
        <v>513.39315</v>
      </c>
      <c r="O218" s="38">
        <f t="shared" si="110"/>
        <v>2.3931499999999915</v>
      </c>
    </row>
    <row r="219" spans="1:15" ht="16.5" hidden="1">
      <c r="A219" s="39"/>
      <c r="B219" s="40" t="s">
        <v>318</v>
      </c>
      <c r="C219" s="21">
        <v>703</v>
      </c>
      <c r="D219" s="76" t="s">
        <v>160</v>
      </c>
      <c r="E219" s="76" t="s">
        <v>20</v>
      </c>
      <c r="F219" s="77"/>
      <c r="G219" s="76"/>
      <c r="H219" s="78">
        <f>H229+H232+H220</f>
        <v>1315.8</v>
      </c>
      <c r="I219" s="78">
        <f>I229+I232+H220</f>
        <v>1315.8</v>
      </c>
      <c r="J219" s="87">
        <f>J220+J229+J232</f>
        <v>53301.03856</v>
      </c>
      <c r="K219" s="36">
        <f t="shared" si="111"/>
        <v>51985.23856</v>
      </c>
      <c r="L219" s="87">
        <f>L220+L229+L232</f>
        <v>30.8</v>
      </c>
      <c r="M219" s="80">
        <f>M220+M229+M232</f>
        <v>0.8</v>
      </c>
      <c r="N219" s="80">
        <f>N220+N229+N232</f>
        <v>0</v>
      </c>
      <c r="O219" s="38">
        <f t="shared" si="110"/>
        <v>-30</v>
      </c>
    </row>
    <row r="220" spans="1:15" ht="50.25" customHeight="1" hidden="1">
      <c r="A220" s="39"/>
      <c r="B220" s="74" t="s">
        <v>319</v>
      </c>
      <c r="C220" s="21">
        <v>703</v>
      </c>
      <c r="D220" s="118" t="s">
        <v>160</v>
      </c>
      <c r="E220" s="118" t="s">
        <v>20</v>
      </c>
      <c r="F220" s="106" t="s">
        <v>147</v>
      </c>
      <c r="G220" s="76"/>
      <c r="H220" s="78">
        <f>H221</f>
        <v>1000</v>
      </c>
      <c r="I220" s="149">
        <f>I221</f>
        <v>1000</v>
      </c>
      <c r="J220" s="129">
        <f>J221+J225</f>
        <v>53270.23856</v>
      </c>
      <c r="K220" s="36">
        <f t="shared" si="111"/>
        <v>52270.23856</v>
      </c>
      <c r="L220" s="129">
        <f>L221+L225</f>
        <v>0</v>
      </c>
      <c r="M220" s="63">
        <f>M221+M225</f>
        <v>0</v>
      </c>
      <c r="N220" s="63">
        <f>N221+N225</f>
        <v>0</v>
      </c>
      <c r="O220" s="38">
        <f t="shared" si="110"/>
        <v>0</v>
      </c>
    </row>
    <row r="221" spans="1:15" ht="39" customHeight="1" hidden="1">
      <c r="A221" s="39"/>
      <c r="B221" s="74" t="s">
        <v>320</v>
      </c>
      <c r="C221" s="21">
        <v>703</v>
      </c>
      <c r="D221" s="118" t="s">
        <v>160</v>
      </c>
      <c r="E221" s="118" t="s">
        <v>20</v>
      </c>
      <c r="F221" s="106" t="s">
        <v>183</v>
      </c>
      <c r="G221" s="76"/>
      <c r="H221" s="78">
        <f>I226+I227+H224</f>
        <v>1000</v>
      </c>
      <c r="I221" s="149">
        <f>I224</f>
        <v>1000</v>
      </c>
      <c r="J221" s="129">
        <f>J222+J223+J224</f>
        <v>6813.337439999999</v>
      </c>
      <c r="K221" s="36">
        <f t="shared" si="111"/>
        <v>5813.337439999999</v>
      </c>
      <c r="L221" s="129">
        <f>L222+L223+L224</f>
        <v>0</v>
      </c>
      <c r="M221" s="63">
        <f>M222+M223+M224</f>
        <v>0</v>
      </c>
      <c r="N221" s="63">
        <f>N222+N223+N224</f>
        <v>0</v>
      </c>
      <c r="O221" s="38">
        <f t="shared" si="110"/>
        <v>0</v>
      </c>
    </row>
    <row r="222" spans="1:15" ht="97.5" customHeight="1" hidden="1">
      <c r="A222" s="39"/>
      <c r="B222" s="116" t="s">
        <v>321</v>
      </c>
      <c r="C222" s="21">
        <v>703</v>
      </c>
      <c r="D222" s="118" t="s">
        <v>160</v>
      </c>
      <c r="E222" s="150" t="s">
        <v>20</v>
      </c>
      <c r="F222" s="146" t="s">
        <v>322</v>
      </c>
      <c r="G222" s="59" t="s">
        <v>317</v>
      </c>
      <c r="H222" s="78"/>
      <c r="I222" s="151"/>
      <c r="J222" s="129">
        <f>5995.62194</f>
        <v>5995.62194</v>
      </c>
      <c r="K222" s="36">
        <f t="shared" si="111"/>
        <v>5995.62194</v>
      </c>
      <c r="L222" s="129">
        <f>5995.62194-5995.62194</f>
        <v>0</v>
      </c>
      <c r="M222" s="63">
        <f>5995.62194-5995.62194</f>
        <v>0</v>
      </c>
      <c r="N222" s="63">
        <f>5995.62194-5995.62194</f>
        <v>0</v>
      </c>
      <c r="O222" s="38">
        <f t="shared" si="110"/>
        <v>0</v>
      </c>
    </row>
    <row r="223" spans="1:15" ht="96.75" customHeight="1" hidden="1">
      <c r="A223" s="39"/>
      <c r="B223" s="116" t="s">
        <v>323</v>
      </c>
      <c r="C223" s="21">
        <v>703</v>
      </c>
      <c r="D223" s="118" t="s">
        <v>160</v>
      </c>
      <c r="E223" s="150" t="s">
        <v>20</v>
      </c>
      <c r="F223" s="146" t="s">
        <v>324</v>
      </c>
      <c r="G223" s="59" t="s">
        <v>317</v>
      </c>
      <c r="H223" s="78"/>
      <c r="I223" s="151"/>
      <c r="J223" s="129">
        <v>315.55905</v>
      </c>
      <c r="K223" s="36">
        <f t="shared" si="111"/>
        <v>315.55905</v>
      </c>
      <c r="L223" s="129">
        <f>315.55905-315.55905</f>
        <v>0</v>
      </c>
      <c r="M223" s="63">
        <f>315.55905-315.55905</f>
        <v>0</v>
      </c>
      <c r="N223" s="63">
        <f>315.55905-315.55905</f>
        <v>0</v>
      </c>
      <c r="O223" s="38">
        <f t="shared" si="110"/>
        <v>0</v>
      </c>
    </row>
    <row r="224" spans="1:15" ht="47.25" customHeight="1" hidden="1">
      <c r="A224" s="39"/>
      <c r="B224" s="116" t="s">
        <v>325</v>
      </c>
      <c r="C224" s="21">
        <v>703</v>
      </c>
      <c r="D224" s="118" t="s">
        <v>160</v>
      </c>
      <c r="E224" s="150" t="s">
        <v>20</v>
      </c>
      <c r="F224" s="146" t="s">
        <v>185</v>
      </c>
      <c r="G224" s="59" t="s">
        <v>317</v>
      </c>
      <c r="H224" s="61">
        <v>1000</v>
      </c>
      <c r="I224" s="149">
        <v>1000</v>
      </c>
      <c r="J224" s="129">
        <f>1000+50-315.55905-232.2845</f>
        <v>502.15644999999995</v>
      </c>
      <c r="K224" s="36">
        <f>J224-H224</f>
        <v>-497.84355000000005</v>
      </c>
      <c r="L224" s="129">
        <f>1000+50-315.55905-232.2845-502.15645</f>
        <v>0</v>
      </c>
      <c r="M224" s="63">
        <f>1000+50-315.55905-232.2845-502.15645</f>
        <v>0</v>
      </c>
      <c r="N224" s="63">
        <f>1000+50-315.55905-232.2845-502.15645</f>
        <v>0</v>
      </c>
      <c r="O224" s="38">
        <f t="shared" si="110"/>
        <v>0</v>
      </c>
    </row>
    <row r="225" spans="1:15" ht="48.75" customHeight="1" hidden="1">
      <c r="A225" s="39"/>
      <c r="B225" s="74" t="s">
        <v>326</v>
      </c>
      <c r="C225" s="21">
        <v>703</v>
      </c>
      <c r="D225" s="118" t="s">
        <v>160</v>
      </c>
      <c r="E225" s="150" t="s">
        <v>20</v>
      </c>
      <c r="F225" s="146" t="s">
        <v>327</v>
      </c>
      <c r="G225" s="59"/>
      <c r="H225" s="78"/>
      <c r="I225" s="61"/>
      <c r="J225" s="129">
        <f>J226+J227+J228</f>
        <v>46456.901119999995</v>
      </c>
      <c r="K225" s="36">
        <f aca="true" t="shared" si="118" ref="K225:K236">J225-I225</f>
        <v>46456.901119999995</v>
      </c>
      <c r="L225" s="129">
        <f>L226+L227+L228</f>
        <v>0</v>
      </c>
      <c r="M225" s="63">
        <f>M226+M227+M228</f>
        <v>0</v>
      </c>
      <c r="N225" s="63">
        <f>N226+N227+N228</f>
        <v>0</v>
      </c>
      <c r="O225" s="38">
        <f t="shared" si="110"/>
        <v>0</v>
      </c>
    </row>
    <row r="226" spans="1:15" ht="78" customHeight="1" hidden="1">
      <c r="A226" s="39"/>
      <c r="B226" s="74" t="s">
        <v>191</v>
      </c>
      <c r="C226" s="21">
        <v>703</v>
      </c>
      <c r="D226" s="118" t="s">
        <v>160</v>
      </c>
      <c r="E226" s="150" t="s">
        <v>20</v>
      </c>
      <c r="F226" s="146" t="s">
        <v>328</v>
      </c>
      <c r="G226" s="59" t="s">
        <v>317</v>
      </c>
      <c r="H226" s="78"/>
      <c r="I226" s="78"/>
      <c r="J226" s="95">
        <f>45527.7631</f>
        <v>45527.7631</v>
      </c>
      <c r="K226" s="36">
        <f t="shared" si="118"/>
        <v>45527.7631</v>
      </c>
      <c r="L226" s="95">
        <f>45527.7631-45527.7631</f>
        <v>0</v>
      </c>
      <c r="M226" s="63">
        <f>45527.7631-45527.7631</f>
        <v>0</v>
      </c>
      <c r="N226" s="63">
        <f>45527.7631-45527.7631</f>
        <v>0</v>
      </c>
      <c r="O226" s="38">
        <f t="shared" si="110"/>
        <v>0</v>
      </c>
    </row>
    <row r="227" spans="1:15" ht="49.5" customHeight="1" hidden="1">
      <c r="A227" s="39"/>
      <c r="B227" s="74" t="s">
        <v>194</v>
      </c>
      <c r="C227" s="21">
        <v>703</v>
      </c>
      <c r="D227" s="118" t="s">
        <v>160</v>
      </c>
      <c r="E227" s="150" t="s">
        <v>20</v>
      </c>
      <c r="F227" s="146" t="s">
        <v>329</v>
      </c>
      <c r="G227" s="59" t="s">
        <v>317</v>
      </c>
      <c r="H227" s="78"/>
      <c r="I227" s="78"/>
      <c r="J227" s="129">
        <v>696.85352</v>
      </c>
      <c r="K227" s="36">
        <f t="shared" si="118"/>
        <v>696.85352</v>
      </c>
      <c r="L227" s="129">
        <f>696.85352-696.85352</f>
        <v>0</v>
      </c>
      <c r="M227" s="63">
        <f>696.85352-696.85352</f>
        <v>0</v>
      </c>
      <c r="N227" s="63">
        <f>696.85352-696.85352</f>
        <v>0</v>
      </c>
      <c r="O227" s="38">
        <f t="shared" si="110"/>
        <v>0</v>
      </c>
    </row>
    <row r="228" spans="1:15" ht="63.75" customHeight="1" hidden="1">
      <c r="A228" s="39"/>
      <c r="B228" s="74" t="s">
        <v>330</v>
      </c>
      <c r="C228" s="21">
        <v>703</v>
      </c>
      <c r="D228" s="118" t="s">
        <v>160</v>
      </c>
      <c r="E228" s="150" t="s">
        <v>20</v>
      </c>
      <c r="F228" s="146" t="s">
        <v>329</v>
      </c>
      <c r="G228" s="59" t="s">
        <v>317</v>
      </c>
      <c r="H228" s="78"/>
      <c r="I228" s="78"/>
      <c r="J228" s="129">
        <v>232.2845</v>
      </c>
      <c r="K228" s="36">
        <f t="shared" si="118"/>
        <v>232.2845</v>
      </c>
      <c r="L228" s="129">
        <f>232.2845-232.2845</f>
        <v>0</v>
      </c>
      <c r="M228" s="63">
        <f>232.2845-232.2845</f>
        <v>0</v>
      </c>
      <c r="N228" s="63">
        <f>232.2845-232.2845</f>
        <v>0</v>
      </c>
      <c r="O228" s="38">
        <f t="shared" si="110"/>
        <v>0</v>
      </c>
    </row>
    <row r="229" spans="1:15" ht="51.75" customHeight="1" hidden="1">
      <c r="A229" s="39"/>
      <c r="B229" s="46" t="s">
        <v>331</v>
      </c>
      <c r="C229" s="21">
        <v>703</v>
      </c>
      <c r="D229" s="59" t="s">
        <v>160</v>
      </c>
      <c r="E229" s="59" t="s">
        <v>20</v>
      </c>
      <c r="F229" s="60" t="s">
        <v>332</v>
      </c>
      <c r="G229" s="59"/>
      <c r="H229" s="61">
        <f aca="true" t="shared" si="119" ref="H229:H230">H230</f>
        <v>285</v>
      </c>
      <c r="I229" s="61">
        <f aca="true" t="shared" si="120" ref="I229:I230">I230</f>
        <v>285</v>
      </c>
      <c r="J229" s="66">
        <f aca="true" t="shared" si="121" ref="J229:J230">J230</f>
        <v>0</v>
      </c>
      <c r="K229" s="45">
        <f t="shared" si="118"/>
        <v>-285</v>
      </c>
      <c r="L229" s="66">
        <f aca="true" t="shared" si="122" ref="L229:L230">L230</f>
        <v>0</v>
      </c>
      <c r="M229" s="63">
        <f aca="true" t="shared" si="123" ref="M229:M230">M230</f>
        <v>0</v>
      </c>
      <c r="N229" s="63">
        <f aca="true" t="shared" si="124" ref="N229:N230">N230</f>
        <v>0</v>
      </c>
      <c r="O229" s="38">
        <f t="shared" si="110"/>
        <v>0</v>
      </c>
    </row>
    <row r="230" spans="1:15" ht="31.5" customHeight="1" hidden="1">
      <c r="A230" s="39"/>
      <c r="B230" s="46" t="s">
        <v>333</v>
      </c>
      <c r="C230" s="21">
        <v>703</v>
      </c>
      <c r="D230" s="59" t="s">
        <v>160</v>
      </c>
      <c r="E230" s="59" t="s">
        <v>20</v>
      </c>
      <c r="F230" s="60" t="s">
        <v>334</v>
      </c>
      <c r="G230" s="59"/>
      <c r="H230" s="61">
        <f t="shared" si="119"/>
        <v>285</v>
      </c>
      <c r="I230" s="61">
        <f t="shared" si="120"/>
        <v>285</v>
      </c>
      <c r="J230" s="66">
        <f t="shared" si="121"/>
        <v>0</v>
      </c>
      <c r="K230" s="45">
        <f t="shared" si="118"/>
        <v>-285</v>
      </c>
      <c r="L230" s="66">
        <f t="shared" si="122"/>
        <v>0</v>
      </c>
      <c r="M230" s="63">
        <f t="shared" si="123"/>
        <v>0</v>
      </c>
      <c r="N230" s="63">
        <f t="shared" si="124"/>
        <v>0</v>
      </c>
      <c r="O230" s="38">
        <f t="shared" si="110"/>
        <v>0</v>
      </c>
    </row>
    <row r="231" spans="1:15" ht="36" customHeight="1" hidden="1">
      <c r="A231" s="39"/>
      <c r="B231" s="74" t="s">
        <v>335</v>
      </c>
      <c r="C231" s="21">
        <v>703</v>
      </c>
      <c r="D231" s="59" t="s">
        <v>160</v>
      </c>
      <c r="E231" s="59" t="s">
        <v>20</v>
      </c>
      <c r="F231" s="60" t="s">
        <v>336</v>
      </c>
      <c r="G231" s="59" t="s">
        <v>102</v>
      </c>
      <c r="H231" s="65">
        <v>285</v>
      </c>
      <c r="I231" s="65">
        <v>285</v>
      </c>
      <c r="J231" s="66">
        <f>285-285</f>
        <v>0</v>
      </c>
      <c r="K231" s="45">
        <f t="shared" si="118"/>
        <v>-285</v>
      </c>
      <c r="L231" s="66">
        <f>285-285</f>
        <v>0</v>
      </c>
      <c r="M231" s="63">
        <f>285-285</f>
        <v>0</v>
      </c>
      <c r="N231" s="63">
        <f>285-285</f>
        <v>0</v>
      </c>
      <c r="O231" s="38">
        <f t="shared" si="110"/>
        <v>0</v>
      </c>
    </row>
    <row r="232" spans="1:15" ht="16.5" hidden="1">
      <c r="A232" s="39"/>
      <c r="B232" s="74" t="s">
        <v>33</v>
      </c>
      <c r="C232" s="21">
        <v>703</v>
      </c>
      <c r="D232" s="59" t="s">
        <v>160</v>
      </c>
      <c r="E232" s="59" t="s">
        <v>20</v>
      </c>
      <c r="F232" s="60" t="s">
        <v>22</v>
      </c>
      <c r="G232" s="59"/>
      <c r="H232" s="61">
        <f>H233</f>
        <v>30.8</v>
      </c>
      <c r="I232" s="61">
        <f>I233</f>
        <v>30.8</v>
      </c>
      <c r="J232" s="66">
        <f>J233</f>
        <v>30.8</v>
      </c>
      <c r="K232" s="45">
        <f t="shared" si="118"/>
        <v>0</v>
      </c>
      <c r="L232" s="66">
        <f>L233</f>
        <v>30.8</v>
      </c>
      <c r="M232" s="63">
        <f>M233</f>
        <v>0.8</v>
      </c>
      <c r="N232" s="63">
        <f>N233</f>
        <v>0</v>
      </c>
      <c r="O232" s="38">
        <f t="shared" si="110"/>
        <v>-30</v>
      </c>
    </row>
    <row r="233" spans="1:15" ht="15" customHeight="1" hidden="1">
      <c r="A233" s="39"/>
      <c r="B233" s="74" t="s">
        <v>23</v>
      </c>
      <c r="C233" s="21">
        <v>703</v>
      </c>
      <c r="D233" s="59" t="s">
        <v>160</v>
      </c>
      <c r="E233" s="59" t="s">
        <v>20</v>
      </c>
      <c r="F233" s="60" t="s">
        <v>35</v>
      </c>
      <c r="G233" s="59"/>
      <c r="H233" s="61">
        <f>SUM(H234:H238)</f>
        <v>30.8</v>
      </c>
      <c r="I233" s="61">
        <f>SUM(I234:I238)</f>
        <v>30.8</v>
      </c>
      <c r="J233" s="66">
        <f>SUM(J234:J238)</f>
        <v>30.8</v>
      </c>
      <c r="K233" s="45">
        <f t="shared" si="118"/>
        <v>0</v>
      </c>
      <c r="L233" s="66">
        <f>SUM(L234:L238)</f>
        <v>30.8</v>
      </c>
      <c r="M233" s="63">
        <f>SUM(M234:M238)</f>
        <v>0.8</v>
      </c>
      <c r="N233" s="63">
        <v>0</v>
      </c>
      <c r="O233" s="38">
        <f t="shared" si="110"/>
        <v>-30</v>
      </c>
    </row>
    <row r="234" spans="1:15" ht="37.5" customHeight="1" hidden="1">
      <c r="A234" s="39"/>
      <c r="B234" s="46" t="s">
        <v>337</v>
      </c>
      <c r="C234" s="21">
        <v>703</v>
      </c>
      <c r="D234" s="59" t="s">
        <v>160</v>
      </c>
      <c r="E234" s="59" t="s">
        <v>20</v>
      </c>
      <c r="F234" s="103" t="s">
        <v>338</v>
      </c>
      <c r="G234" s="59" t="s">
        <v>102</v>
      </c>
      <c r="H234" s="65">
        <v>0</v>
      </c>
      <c r="I234" s="65">
        <v>0</v>
      </c>
      <c r="J234" s="66">
        <v>0</v>
      </c>
      <c r="K234" s="45">
        <f t="shared" si="118"/>
        <v>0</v>
      </c>
      <c r="L234" s="66">
        <v>0</v>
      </c>
      <c r="M234" s="63">
        <v>0</v>
      </c>
      <c r="N234" s="63">
        <v>0</v>
      </c>
      <c r="O234" s="38">
        <f t="shared" si="110"/>
        <v>0</v>
      </c>
    </row>
    <row r="235" spans="1:15" ht="62.25" customHeight="1" hidden="1">
      <c r="A235" s="39"/>
      <c r="B235" s="46" t="s">
        <v>339</v>
      </c>
      <c r="C235" s="21">
        <v>703</v>
      </c>
      <c r="D235" s="59" t="s">
        <v>160</v>
      </c>
      <c r="E235" s="59" t="s">
        <v>20</v>
      </c>
      <c r="F235" s="60" t="s">
        <v>340</v>
      </c>
      <c r="G235" s="59" t="s">
        <v>317</v>
      </c>
      <c r="H235" s="65">
        <v>0.7</v>
      </c>
      <c r="I235" s="65">
        <v>0.7</v>
      </c>
      <c r="J235" s="66">
        <v>0.7</v>
      </c>
      <c r="K235" s="45">
        <f t="shared" si="118"/>
        <v>0</v>
      </c>
      <c r="L235" s="66">
        <f>0.7-0.7</f>
        <v>0</v>
      </c>
      <c r="M235" s="63">
        <f>0.7-0.7</f>
        <v>0</v>
      </c>
      <c r="N235" s="63">
        <f>0.7-0.7</f>
        <v>0</v>
      </c>
      <c r="O235" s="38">
        <f t="shared" si="110"/>
        <v>0</v>
      </c>
    </row>
    <row r="236" spans="1:15" ht="74.25" customHeight="1" hidden="1">
      <c r="A236" s="39"/>
      <c r="B236" s="133" t="s">
        <v>341</v>
      </c>
      <c r="C236" s="21">
        <v>703</v>
      </c>
      <c r="D236" s="59" t="s">
        <v>160</v>
      </c>
      <c r="E236" s="59" t="s">
        <v>20</v>
      </c>
      <c r="F236" s="60" t="s">
        <v>342</v>
      </c>
      <c r="G236" s="59" t="s">
        <v>317</v>
      </c>
      <c r="H236" s="132">
        <v>0.1</v>
      </c>
      <c r="I236" s="132">
        <v>0.1</v>
      </c>
      <c r="J236" s="83">
        <v>0.1</v>
      </c>
      <c r="K236" s="45">
        <f t="shared" si="118"/>
        <v>0</v>
      </c>
      <c r="L236" s="83">
        <f>0.1-0.1</f>
        <v>0</v>
      </c>
      <c r="M236" s="84">
        <f>0.1-0.1</f>
        <v>0</v>
      </c>
      <c r="N236" s="84">
        <f>0.1-0.1</f>
        <v>0</v>
      </c>
      <c r="O236" s="38">
        <f t="shared" si="110"/>
        <v>0</v>
      </c>
    </row>
    <row r="237" spans="1:15" ht="63.75" customHeight="1" hidden="1">
      <c r="A237" s="39"/>
      <c r="B237" s="46" t="s">
        <v>339</v>
      </c>
      <c r="C237" s="21">
        <v>703</v>
      </c>
      <c r="D237" s="59" t="s">
        <v>160</v>
      </c>
      <c r="E237" s="59" t="s">
        <v>20</v>
      </c>
      <c r="F237" s="60" t="s">
        <v>343</v>
      </c>
      <c r="G237" s="59" t="s">
        <v>317</v>
      </c>
      <c r="H237" s="132"/>
      <c r="I237" s="132"/>
      <c r="J237" s="83"/>
      <c r="K237" s="45"/>
      <c r="L237" s="83">
        <f>0.7+0.1</f>
        <v>0.8</v>
      </c>
      <c r="M237" s="84">
        <f>0.7+0.1</f>
        <v>0.8</v>
      </c>
      <c r="N237" s="84">
        <f>0.7+0.1</f>
        <v>0.8</v>
      </c>
      <c r="O237" s="38">
        <f t="shared" si="110"/>
        <v>0</v>
      </c>
    </row>
    <row r="238" spans="1:15" ht="40.5" customHeight="1" hidden="1">
      <c r="A238" s="39"/>
      <c r="B238" s="74" t="s">
        <v>344</v>
      </c>
      <c r="C238" s="21">
        <v>703</v>
      </c>
      <c r="D238" s="145" t="s">
        <v>160</v>
      </c>
      <c r="E238" s="59" t="s">
        <v>20</v>
      </c>
      <c r="F238" s="60" t="s">
        <v>345</v>
      </c>
      <c r="G238" s="59" t="s">
        <v>317</v>
      </c>
      <c r="H238" s="132">
        <v>30</v>
      </c>
      <c r="I238" s="132">
        <v>30</v>
      </c>
      <c r="J238" s="83">
        <v>30</v>
      </c>
      <c r="K238" s="45">
        <f aca="true" t="shared" si="125" ref="K238:K247">J238-I238</f>
        <v>0</v>
      </c>
      <c r="L238" s="83">
        <v>30</v>
      </c>
      <c r="M238" s="84">
        <f>30-2.39315-27.60685</f>
        <v>0</v>
      </c>
      <c r="N238" s="84">
        <f>30-2.39315-27.60685</f>
        <v>0</v>
      </c>
      <c r="O238" s="38">
        <f t="shared" si="110"/>
        <v>-30</v>
      </c>
    </row>
    <row r="239" spans="1:15" ht="16.5" hidden="1">
      <c r="A239" s="39"/>
      <c r="B239" s="152" t="s">
        <v>346</v>
      </c>
      <c r="C239" s="21">
        <v>703</v>
      </c>
      <c r="D239" s="153" t="s">
        <v>160</v>
      </c>
      <c r="E239" s="76" t="s">
        <v>32</v>
      </c>
      <c r="F239" s="77"/>
      <c r="G239" s="76"/>
      <c r="H239" s="154"/>
      <c r="I239" s="154"/>
      <c r="J239" s="155">
        <f aca="true" t="shared" si="126" ref="J239:J241">J240</f>
        <v>285</v>
      </c>
      <c r="K239" s="45">
        <f t="shared" si="125"/>
        <v>285</v>
      </c>
      <c r="L239" s="155">
        <f aca="true" t="shared" si="127" ref="L239:L241">L240</f>
        <v>285</v>
      </c>
      <c r="M239" s="88">
        <f aca="true" t="shared" si="128" ref="M239:M241">M240</f>
        <v>285</v>
      </c>
      <c r="N239" s="88">
        <f aca="true" t="shared" si="129" ref="N239:N241">N240</f>
        <v>285</v>
      </c>
      <c r="O239" s="38">
        <f t="shared" si="110"/>
        <v>0</v>
      </c>
    </row>
    <row r="240" spans="1:15" ht="41.25" hidden="1">
      <c r="A240" s="39"/>
      <c r="B240" s="46" t="s">
        <v>331</v>
      </c>
      <c r="C240" s="21">
        <v>703</v>
      </c>
      <c r="D240" s="145" t="s">
        <v>160</v>
      </c>
      <c r="E240" s="59" t="s">
        <v>32</v>
      </c>
      <c r="F240" s="60" t="s">
        <v>332</v>
      </c>
      <c r="G240" s="59"/>
      <c r="H240" s="132"/>
      <c r="I240" s="132"/>
      <c r="J240" s="83">
        <f t="shared" si="126"/>
        <v>285</v>
      </c>
      <c r="K240" s="45">
        <f t="shared" si="125"/>
        <v>285</v>
      </c>
      <c r="L240" s="83">
        <f t="shared" si="127"/>
        <v>285</v>
      </c>
      <c r="M240" s="84">
        <f t="shared" si="128"/>
        <v>285</v>
      </c>
      <c r="N240" s="84">
        <f t="shared" si="129"/>
        <v>285</v>
      </c>
      <c r="O240" s="38">
        <f t="shared" si="110"/>
        <v>0</v>
      </c>
    </row>
    <row r="241" spans="1:15" ht="28.5" hidden="1">
      <c r="A241" s="39"/>
      <c r="B241" s="46" t="s">
        <v>333</v>
      </c>
      <c r="C241" s="21">
        <v>703</v>
      </c>
      <c r="D241" s="145" t="s">
        <v>160</v>
      </c>
      <c r="E241" s="59" t="s">
        <v>32</v>
      </c>
      <c r="F241" s="60" t="s">
        <v>334</v>
      </c>
      <c r="G241" s="59"/>
      <c r="H241" s="132"/>
      <c r="I241" s="132"/>
      <c r="J241" s="83">
        <f t="shared" si="126"/>
        <v>285</v>
      </c>
      <c r="K241" s="45">
        <f t="shared" si="125"/>
        <v>285</v>
      </c>
      <c r="L241" s="83">
        <f t="shared" si="127"/>
        <v>285</v>
      </c>
      <c r="M241" s="84">
        <f t="shared" si="128"/>
        <v>285</v>
      </c>
      <c r="N241" s="84">
        <f t="shared" si="129"/>
        <v>285</v>
      </c>
      <c r="O241" s="38">
        <f t="shared" si="110"/>
        <v>0</v>
      </c>
    </row>
    <row r="242" spans="1:15" ht="36" customHeight="1" hidden="1">
      <c r="A242" s="39"/>
      <c r="B242" s="74" t="s">
        <v>335</v>
      </c>
      <c r="C242" s="21">
        <v>703</v>
      </c>
      <c r="D242" s="145" t="s">
        <v>160</v>
      </c>
      <c r="E242" s="59" t="s">
        <v>32</v>
      </c>
      <c r="F242" s="60" t="s">
        <v>347</v>
      </c>
      <c r="G242" s="59" t="s">
        <v>30</v>
      </c>
      <c r="H242" s="132"/>
      <c r="I242" s="132"/>
      <c r="J242" s="83">
        <v>285</v>
      </c>
      <c r="K242" s="45">
        <f t="shared" si="125"/>
        <v>285</v>
      </c>
      <c r="L242" s="83">
        <v>285</v>
      </c>
      <c r="M242" s="84">
        <v>285</v>
      </c>
      <c r="N242" s="84">
        <v>285</v>
      </c>
      <c r="O242" s="38">
        <f t="shared" si="110"/>
        <v>0</v>
      </c>
    </row>
    <row r="243" spans="1:15" ht="18.75" customHeight="1">
      <c r="A243" s="39"/>
      <c r="B243" s="156" t="s">
        <v>348</v>
      </c>
      <c r="C243" s="21">
        <v>703</v>
      </c>
      <c r="D243" s="76" t="s">
        <v>48</v>
      </c>
      <c r="E243" s="76"/>
      <c r="F243" s="60"/>
      <c r="G243" s="59"/>
      <c r="H243" s="78">
        <f>H244+H251+H256</f>
        <v>9709.800000000001</v>
      </c>
      <c r="I243" s="78">
        <f>I244+I251+I256</f>
        <v>10239.800000000001</v>
      </c>
      <c r="J243" s="87">
        <f>J244+J251+J256</f>
        <v>10414.44062</v>
      </c>
      <c r="K243" s="36">
        <f t="shared" si="125"/>
        <v>174.6406199999983</v>
      </c>
      <c r="L243" s="87">
        <f>L244+L251+L256</f>
        <v>10495.840619999999</v>
      </c>
      <c r="M243" s="80">
        <f>M244+M251+M256</f>
        <v>10070.90662</v>
      </c>
      <c r="N243" s="80">
        <f>N244+N251+N256</f>
        <v>10070.90662</v>
      </c>
      <c r="O243" s="38">
        <f t="shared" si="110"/>
        <v>-424.9339999999993</v>
      </c>
    </row>
    <row r="244" spans="1:15" ht="15" customHeight="1">
      <c r="A244" s="39"/>
      <c r="B244" s="40" t="s">
        <v>349</v>
      </c>
      <c r="C244" s="21">
        <v>703</v>
      </c>
      <c r="D244" s="76" t="s">
        <v>48</v>
      </c>
      <c r="E244" s="76" t="s">
        <v>18</v>
      </c>
      <c r="F244" s="77"/>
      <c r="G244" s="76"/>
      <c r="H244" s="78">
        <f aca="true" t="shared" si="130" ref="H244:H246">H245</f>
        <v>9181.7</v>
      </c>
      <c r="I244" s="78">
        <f aca="true" t="shared" si="131" ref="I244:I246">I245</f>
        <v>9181.7</v>
      </c>
      <c r="J244" s="79">
        <f aca="true" t="shared" si="132" ref="J244:J246">J245</f>
        <v>9181.7</v>
      </c>
      <c r="K244" s="45">
        <f t="shared" si="125"/>
        <v>0</v>
      </c>
      <c r="L244" s="79">
        <f>L245+L248</f>
        <v>9303</v>
      </c>
      <c r="M244" s="80">
        <f>M245+M248</f>
        <v>9185</v>
      </c>
      <c r="N244" s="80">
        <f>N245+N248</f>
        <v>9185</v>
      </c>
      <c r="O244" s="38">
        <f t="shared" si="110"/>
        <v>-118</v>
      </c>
    </row>
    <row r="245" spans="1:15" ht="15" customHeight="1">
      <c r="A245" s="39"/>
      <c r="B245" s="74" t="s">
        <v>33</v>
      </c>
      <c r="C245" s="21">
        <v>703</v>
      </c>
      <c r="D245" s="59" t="s">
        <v>48</v>
      </c>
      <c r="E245" s="59" t="s">
        <v>18</v>
      </c>
      <c r="F245" s="60" t="s">
        <v>22</v>
      </c>
      <c r="G245" s="59"/>
      <c r="H245" s="61">
        <f t="shared" si="130"/>
        <v>9181.7</v>
      </c>
      <c r="I245" s="61">
        <f t="shared" si="131"/>
        <v>9181.7</v>
      </c>
      <c r="J245" s="66">
        <f t="shared" si="132"/>
        <v>9181.7</v>
      </c>
      <c r="K245" s="45">
        <f t="shared" si="125"/>
        <v>0</v>
      </c>
      <c r="L245" s="66">
        <f aca="true" t="shared" si="133" ref="L245:L246">L246</f>
        <v>9263.1</v>
      </c>
      <c r="M245" s="63">
        <f aca="true" t="shared" si="134" ref="M245:M246">M246</f>
        <v>9185</v>
      </c>
      <c r="N245" s="63">
        <f aca="true" t="shared" si="135" ref="N245:N246">N246</f>
        <v>9185</v>
      </c>
      <c r="O245" s="38">
        <f t="shared" si="110"/>
        <v>-78.10000000000036</v>
      </c>
    </row>
    <row r="246" spans="1:15" ht="15" customHeight="1">
      <c r="A246" s="39"/>
      <c r="B246" s="74" t="s">
        <v>23</v>
      </c>
      <c r="C246" s="21">
        <v>703</v>
      </c>
      <c r="D246" s="59" t="s">
        <v>48</v>
      </c>
      <c r="E246" s="59" t="s">
        <v>18</v>
      </c>
      <c r="F246" s="60" t="s">
        <v>24</v>
      </c>
      <c r="G246" s="59"/>
      <c r="H246" s="61">
        <f t="shared" si="130"/>
        <v>9181.7</v>
      </c>
      <c r="I246" s="61">
        <f t="shared" si="131"/>
        <v>9181.7</v>
      </c>
      <c r="J246" s="66">
        <f t="shared" si="132"/>
        <v>9181.7</v>
      </c>
      <c r="K246" s="45">
        <f t="shared" si="125"/>
        <v>0</v>
      </c>
      <c r="L246" s="66">
        <f t="shared" si="133"/>
        <v>9263.1</v>
      </c>
      <c r="M246" s="63">
        <f t="shared" si="134"/>
        <v>9185</v>
      </c>
      <c r="N246" s="63">
        <f t="shared" si="135"/>
        <v>9185</v>
      </c>
      <c r="O246" s="38">
        <f t="shared" si="110"/>
        <v>-78.10000000000036</v>
      </c>
    </row>
    <row r="247" spans="1:15" ht="57" customHeight="1">
      <c r="A247" s="39"/>
      <c r="B247" s="52" t="s">
        <v>350</v>
      </c>
      <c r="C247" s="21">
        <v>703</v>
      </c>
      <c r="D247" s="59" t="s">
        <v>48</v>
      </c>
      <c r="E247" s="59" t="s">
        <v>18</v>
      </c>
      <c r="F247" s="60" t="s">
        <v>351</v>
      </c>
      <c r="G247" s="59" t="s">
        <v>209</v>
      </c>
      <c r="H247" s="65">
        <v>9181.7</v>
      </c>
      <c r="I247" s="65">
        <v>9181.7</v>
      </c>
      <c r="J247" s="66">
        <v>9181.7</v>
      </c>
      <c r="K247" s="45">
        <f t="shared" si="125"/>
        <v>0</v>
      </c>
      <c r="L247" s="66">
        <f>9181.7+81.4</f>
        <v>9263.1</v>
      </c>
      <c r="M247" s="63">
        <v>9185</v>
      </c>
      <c r="N247" s="63">
        <v>9185</v>
      </c>
      <c r="O247" s="38">
        <f t="shared" si="110"/>
        <v>-78.10000000000036</v>
      </c>
    </row>
    <row r="248" spans="1:15" ht="56.25" customHeight="1" hidden="1">
      <c r="A248" s="39"/>
      <c r="B248" s="74" t="s">
        <v>296</v>
      </c>
      <c r="C248" s="21">
        <v>703</v>
      </c>
      <c r="D248" s="59">
        <v>11</v>
      </c>
      <c r="E248" s="150" t="s">
        <v>18</v>
      </c>
      <c r="F248" s="146" t="s">
        <v>297</v>
      </c>
      <c r="G248" s="150"/>
      <c r="H248" s="65"/>
      <c r="I248" s="65"/>
      <c r="J248" s="66"/>
      <c r="K248" s="45"/>
      <c r="L248" s="66">
        <f aca="true" t="shared" si="136" ref="L248:L249">L249</f>
        <v>39.9</v>
      </c>
      <c r="M248" s="63">
        <f aca="true" t="shared" si="137" ref="M248:M249">M249</f>
        <v>0</v>
      </c>
      <c r="N248" s="63">
        <f aca="true" t="shared" si="138" ref="N248:N249">N249</f>
        <v>0</v>
      </c>
      <c r="O248" s="38">
        <f t="shared" si="110"/>
        <v>-39.9</v>
      </c>
    </row>
    <row r="249" spans="1:15" ht="30" customHeight="1" hidden="1">
      <c r="A249" s="39"/>
      <c r="B249" s="74" t="s">
        <v>298</v>
      </c>
      <c r="C249" s="21">
        <v>703</v>
      </c>
      <c r="D249" s="59">
        <v>11</v>
      </c>
      <c r="E249" s="150" t="s">
        <v>18</v>
      </c>
      <c r="F249" s="146" t="s">
        <v>299</v>
      </c>
      <c r="G249" s="150"/>
      <c r="H249" s="65"/>
      <c r="I249" s="65"/>
      <c r="J249" s="66"/>
      <c r="K249" s="45"/>
      <c r="L249" s="66">
        <f t="shared" si="136"/>
        <v>39.9</v>
      </c>
      <c r="M249" s="63">
        <f t="shared" si="137"/>
        <v>0</v>
      </c>
      <c r="N249" s="63">
        <f t="shared" si="138"/>
        <v>0</v>
      </c>
      <c r="O249" s="38">
        <f t="shared" si="110"/>
        <v>-39.9</v>
      </c>
    </row>
    <row r="250" spans="1:15" ht="67.5" customHeight="1" hidden="1">
      <c r="A250" s="39"/>
      <c r="B250" s="74" t="s">
        <v>300</v>
      </c>
      <c r="C250" s="21">
        <v>703</v>
      </c>
      <c r="D250" s="59">
        <v>11</v>
      </c>
      <c r="E250" s="150" t="s">
        <v>18</v>
      </c>
      <c r="F250" s="146" t="s">
        <v>301</v>
      </c>
      <c r="G250" s="150" t="s">
        <v>209</v>
      </c>
      <c r="H250" s="65"/>
      <c r="I250" s="65"/>
      <c r="J250" s="66"/>
      <c r="K250" s="45"/>
      <c r="L250" s="66">
        <v>39.9</v>
      </c>
      <c r="M250" s="63">
        <f>39.9-39.9</f>
        <v>0</v>
      </c>
      <c r="N250" s="63">
        <f>39.9-39.9</f>
        <v>0</v>
      </c>
      <c r="O250" s="38">
        <f t="shared" si="110"/>
        <v>-39.9</v>
      </c>
    </row>
    <row r="251" spans="1:15" ht="19.5" customHeight="1">
      <c r="A251" s="39"/>
      <c r="B251" s="157" t="s">
        <v>352</v>
      </c>
      <c r="C251" s="21">
        <v>703</v>
      </c>
      <c r="D251" s="76" t="s">
        <v>48</v>
      </c>
      <c r="E251" s="76" t="s">
        <v>60</v>
      </c>
      <c r="F251" s="77"/>
      <c r="G251" s="76"/>
      <c r="H251" s="86">
        <f aca="true" t="shared" si="139" ref="H251:H253">H252</f>
        <v>488.2</v>
      </c>
      <c r="I251" s="86">
        <f aca="true" t="shared" si="140" ref="I251:I252">I252</f>
        <v>1018.2</v>
      </c>
      <c r="J251" s="87">
        <f aca="true" t="shared" si="141" ref="J251:J252">J252</f>
        <v>1192.84062</v>
      </c>
      <c r="K251" s="36">
        <f aca="true" t="shared" si="142" ref="K251:K259">J251-I251</f>
        <v>174.6406199999999</v>
      </c>
      <c r="L251" s="87">
        <f aca="true" t="shared" si="143" ref="L251:L252">L252</f>
        <v>1192.84062</v>
      </c>
      <c r="M251" s="80">
        <f aca="true" t="shared" si="144" ref="M251:M252">M252</f>
        <v>885.90662</v>
      </c>
      <c r="N251" s="80">
        <f aca="true" t="shared" si="145" ref="N251:N252">N252</f>
        <v>885.90662</v>
      </c>
      <c r="O251" s="38">
        <f t="shared" si="110"/>
        <v>-306.93399999999997</v>
      </c>
    </row>
    <row r="252" spans="1:15" ht="57" customHeight="1">
      <c r="A252" s="39"/>
      <c r="B252" s="46" t="s">
        <v>353</v>
      </c>
      <c r="C252" s="21">
        <v>703</v>
      </c>
      <c r="D252" s="59" t="s">
        <v>48</v>
      </c>
      <c r="E252" s="59" t="s">
        <v>60</v>
      </c>
      <c r="F252" s="60" t="s">
        <v>354</v>
      </c>
      <c r="G252" s="59"/>
      <c r="H252" s="65">
        <f t="shared" si="139"/>
        <v>488.2</v>
      </c>
      <c r="I252" s="65">
        <f t="shared" si="140"/>
        <v>1018.2</v>
      </c>
      <c r="J252" s="129">
        <f t="shared" si="141"/>
        <v>1192.84062</v>
      </c>
      <c r="K252" s="36">
        <f t="shared" si="142"/>
        <v>174.6406199999999</v>
      </c>
      <c r="L252" s="129">
        <f t="shared" si="143"/>
        <v>1192.84062</v>
      </c>
      <c r="M252" s="63">
        <f t="shared" si="144"/>
        <v>885.90662</v>
      </c>
      <c r="N252" s="63">
        <f t="shared" si="145"/>
        <v>885.90662</v>
      </c>
      <c r="O252" s="38">
        <f t="shared" si="110"/>
        <v>-306.93399999999997</v>
      </c>
    </row>
    <row r="253" spans="1:15" ht="32.25" customHeight="1">
      <c r="A253" s="39"/>
      <c r="B253" s="74" t="s">
        <v>355</v>
      </c>
      <c r="C253" s="21">
        <v>703</v>
      </c>
      <c r="D253" s="59" t="s">
        <v>48</v>
      </c>
      <c r="E253" s="59" t="s">
        <v>60</v>
      </c>
      <c r="F253" s="60" t="s">
        <v>356</v>
      </c>
      <c r="G253" s="59"/>
      <c r="H253" s="65">
        <f t="shared" si="139"/>
        <v>488.2</v>
      </c>
      <c r="I253" s="65">
        <f>I254+I255</f>
        <v>1018.2</v>
      </c>
      <c r="J253" s="129">
        <f>J254+J255</f>
        <v>1192.84062</v>
      </c>
      <c r="K253" s="36">
        <f t="shared" si="142"/>
        <v>174.6406199999999</v>
      </c>
      <c r="L253" s="129">
        <f>L254+L255</f>
        <v>1192.84062</v>
      </c>
      <c r="M253" s="63">
        <f>M254+M255</f>
        <v>885.90662</v>
      </c>
      <c r="N253" s="63">
        <f>N254+N255</f>
        <v>885.90662</v>
      </c>
      <c r="O253" s="38">
        <f t="shared" si="110"/>
        <v>-306.93399999999997</v>
      </c>
    </row>
    <row r="254" spans="1:15" ht="43.5" customHeight="1">
      <c r="A254" s="39"/>
      <c r="B254" s="158" t="s">
        <v>357</v>
      </c>
      <c r="C254" s="21">
        <v>703</v>
      </c>
      <c r="D254" s="125" t="s">
        <v>48</v>
      </c>
      <c r="E254" s="125" t="s">
        <v>60</v>
      </c>
      <c r="F254" s="68" t="s">
        <v>358</v>
      </c>
      <c r="G254" s="125" t="s">
        <v>209</v>
      </c>
      <c r="H254" s="159">
        <v>488.2</v>
      </c>
      <c r="I254" s="159">
        <v>488.2</v>
      </c>
      <c r="J254" s="129">
        <f>488.2+30.14062-10</f>
        <v>508.34061999999994</v>
      </c>
      <c r="K254" s="98">
        <f t="shared" si="142"/>
        <v>20.140619999999956</v>
      </c>
      <c r="L254" s="129">
        <f>488.2+30.14062-10-20</f>
        <v>488.34061999999994</v>
      </c>
      <c r="M254" s="63">
        <f>488.2+30.14062-10-20-26.9</f>
        <v>461.44061999999997</v>
      </c>
      <c r="N254" s="63">
        <f>488.2+30.14062-10-20-26.9</f>
        <v>461.44061999999997</v>
      </c>
      <c r="O254" s="38">
        <f t="shared" si="110"/>
        <v>-26.899999999999977</v>
      </c>
    </row>
    <row r="255" spans="1:15" ht="57" customHeight="1">
      <c r="A255" s="39"/>
      <c r="B255" s="158" t="s">
        <v>359</v>
      </c>
      <c r="C255" s="21">
        <v>703</v>
      </c>
      <c r="D255" s="125" t="s">
        <v>48</v>
      </c>
      <c r="E255" s="125" t="s">
        <v>60</v>
      </c>
      <c r="F255" s="103" t="s">
        <v>360</v>
      </c>
      <c r="G255" s="125" t="s">
        <v>79</v>
      </c>
      <c r="H255" s="159">
        <v>0</v>
      </c>
      <c r="I255" s="159">
        <f>530</f>
        <v>530</v>
      </c>
      <c r="J255" s="129">
        <f>530+154.5</f>
        <v>684.5</v>
      </c>
      <c r="K255" s="36">
        <f t="shared" si="142"/>
        <v>154.5</v>
      </c>
      <c r="L255" s="129">
        <f>530+154.5+20</f>
        <v>704.5</v>
      </c>
      <c r="M255" s="63">
        <f>530+154.5+20-212.08766-67.94634</f>
        <v>424.46599999999995</v>
      </c>
      <c r="N255" s="63">
        <f>530+154.5+20-212.08766-67.94634</f>
        <v>424.46599999999995</v>
      </c>
      <c r="O255" s="38">
        <f t="shared" si="110"/>
        <v>-280.03400000000005</v>
      </c>
    </row>
    <row r="256" spans="1:15" ht="33.75" customHeight="1" hidden="1">
      <c r="A256" s="39"/>
      <c r="B256" s="157" t="s">
        <v>361</v>
      </c>
      <c r="C256" s="160"/>
      <c r="D256" s="76" t="s">
        <v>48</v>
      </c>
      <c r="E256" s="76" t="s">
        <v>115</v>
      </c>
      <c r="F256" s="161"/>
      <c r="G256" s="76"/>
      <c r="H256" s="86">
        <f aca="true" t="shared" si="146" ref="H256:H258">H257</f>
        <v>39.9</v>
      </c>
      <c r="I256" s="86">
        <f aca="true" t="shared" si="147" ref="I256:I258">I257</f>
        <v>39.9</v>
      </c>
      <c r="J256" s="79">
        <f aca="true" t="shared" si="148" ref="J256:J258">J257</f>
        <v>39.9</v>
      </c>
      <c r="K256" s="45">
        <f t="shared" si="142"/>
        <v>0</v>
      </c>
      <c r="L256" s="79">
        <f aca="true" t="shared" si="149" ref="L256:L258">L257</f>
        <v>0</v>
      </c>
      <c r="M256" s="80">
        <f aca="true" t="shared" si="150" ref="M256:M258">M257</f>
        <v>0</v>
      </c>
      <c r="N256" s="80">
        <f aca="true" t="shared" si="151" ref="N256:N258">N257</f>
        <v>0</v>
      </c>
      <c r="O256" s="38">
        <f t="shared" si="110"/>
        <v>0</v>
      </c>
    </row>
    <row r="257" spans="1:15" ht="60" customHeight="1" hidden="1">
      <c r="A257" s="162"/>
      <c r="B257" s="74" t="s">
        <v>296</v>
      </c>
      <c r="C257" s="163"/>
      <c r="D257" s="59">
        <v>11</v>
      </c>
      <c r="E257" s="150" t="s">
        <v>115</v>
      </c>
      <c r="F257" s="146" t="s">
        <v>297</v>
      </c>
      <c r="G257" s="150"/>
      <c r="H257" s="61">
        <f t="shared" si="146"/>
        <v>39.9</v>
      </c>
      <c r="I257" s="61">
        <f t="shared" si="147"/>
        <v>39.9</v>
      </c>
      <c r="J257" s="66">
        <f t="shared" si="148"/>
        <v>39.9</v>
      </c>
      <c r="K257" s="45">
        <f t="shared" si="142"/>
        <v>0</v>
      </c>
      <c r="L257" s="66">
        <f t="shared" si="149"/>
        <v>0</v>
      </c>
      <c r="M257" s="63">
        <f t="shared" si="150"/>
        <v>0</v>
      </c>
      <c r="N257" s="63">
        <f t="shared" si="151"/>
        <v>0</v>
      </c>
      <c r="O257" s="38">
        <f t="shared" si="110"/>
        <v>0</v>
      </c>
    </row>
    <row r="258" spans="1:15" ht="28.5" hidden="1">
      <c r="A258" s="162"/>
      <c r="B258" s="74" t="s">
        <v>298</v>
      </c>
      <c r="C258" s="163"/>
      <c r="D258" s="59">
        <v>11</v>
      </c>
      <c r="E258" s="150" t="s">
        <v>115</v>
      </c>
      <c r="F258" s="146" t="s">
        <v>299</v>
      </c>
      <c r="G258" s="150"/>
      <c r="H258" s="61">
        <f t="shared" si="146"/>
        <v>39.9</v>
      </c>
      <c r="I258" s="61">
        <f t="shared" si="147"/>
        <v>39.9</v>
      </c>
      <c r="J258" s="66">
        <f t="shared" si="148"/>
        <v>39.9</v>
      </c>
      <c r="K258" s="45">
        <f t="shared" si="142"/>
        <v>0</v>
      </c>
      <c r="L258" s="66">
        <f t="shared" si="149"/>
        <v>0</v>
      </c>
      <c r="M258" s="63">
        <f t="shared" si="150"/>
        <v>0</v>
      </c>
      <c r="N258" s="63">
        <f t="shared" si="151"/>
        <v>0</v>
      </c>
      <c r="O258" s="38">
        <f t="shared" si="110"/>
        <v>0</v>
      </c>
    </row>
    <row r="259" spans="1:15" ht="80.25" customHeight="1" hidden="1">
      <c r="A259" s="164"/>
      <c r="B259" s="74" t="s">
        <v>300</v>
      </c>
      <c r="C259" s="163"/>
      <c r="D259" s="59">
        <v>11</v>
      </c>
      <c r="E259" s="150" t="s">
        <v>115</v>
      </c>
      <c r="F259" s="146" t="s">
        <v>301</v>
      </c>
      <c r="G259" s="150" t="s">
        <v>209</v>
      </c>
      <c r="H259" s="61">
        <f>39.9</f>
        <v>39.9</v>
      </c>
      <c r="I259" s="61">
        <f>39.9</f>
        <v>39.9</v>
      </c>
      <c r="J259" s="66">
        <f>39.9</f>
        <v>39.9</v>
      </c>
      <c r="K259" s="45">
        <f t="shared" si="142"/>
        <v>0</v>
      </c>
      <c r="L259" s="66">
        <f>39.9-39.9</f>
        <v>0</v>
      </c>
      <c r="M259" s="63">
        <f>39.9-39.9</f>
        <v>0</v>
      </c>
      <c r="N259" s="63">
        <f>39.9-39.9</f>
        <v>0</v>
      </c>
      <c r="O259" s="38">
        <f t="shared" si="110"/>
        <v>0</v>
      </c>
    </row>
    <row r="260" spans="3:15" ht="15.75">
      <c r="C260" s="165"/>
      <c r="D260" s="166"/>
      <c r="E260" s="166"/>
      <c r="F260" s="166"/>
      <c r="G260" s="166"/>
      <c r="L260" s="5"/>
      <c r="O260" s="167"/>
    </row>
    <row r="261" spans="3:15" ht="15.75">
      <c r="C261" s="165"/>
      <c r="D261" s="166"/>
      <c r="E261" s="166"/>
      <c r="F261" s="166"/>
      <c r="G261" s="166"/>
      <c r="L261" s="5"/>
      <c r="O261" s="167"/>
    </row>
    <row r="262" spans="3:15" ht="15.75">
      <c r="C262" s="165"/>
      <c r="D262" s="166"/>
      <c r="E262" s="166"/>
      <c r="F262" s="166"/>
      <c r="G262" s="166"/>
      <c r="L262" s="5"/>
      <c r="O262" s="167"/>
    </row>
    <row r="263" spans="3:15" ht="15.75">
      <c r="C263" s="165"/>
      <c r="D263" s="166"/>
      <c r="E263" s="166"/>
      <c r="F263" s="166"/>
      <c r="G263" s="166"/>
      <c r="L263" s="5"/>
      <c r="O263" s="167"/>
    </row>
    <row r="264" spans="3:15" ht="15.75">
      <c r="C264" s="165"/>
      <c r="D264" s="166"/>
      <c r="E264" s="166"/>
      <c r="F264" s="166"/>
      <c r="G264" s="166"/>
      <c r="L264" s="5"/>
      <c r="O264" s="167"/>
    </row>
    <row r="265" spans="3:15" ht="15.75">
      <c r="C265" s="165"/>
      <c r="D265" s="166"/>
      <c r="E265" s="166"/>
      <c r="F265" s="166"/>
      <c r="G265" s="166"/>
      <c r="L265" s="5"/>
      <c r="O265" s="167"/>
    </row>
    <row r="266" spans="3:15" ht="15.75">
      <c r="C266" s="165"/>
      <c r="D266" s="166"/>
      <c r="E266" s="166"/>
      <c r="F266" s="166"/>
      <c r="G266" s="166"/>
      <c r="L266" s="5"/>
      <c r="O266" s="167"/>
    </row>
    <row r="267" spans="3:15" ht="15.75">
      <c r="C267" s="165"/>
      <c r="D267" s="166"/>
      <c r="E267" s="166"/>
      <c r="F267" s="166"/>
      <c r="G267" s="166"/>
      <c r="L267" s="5"/>
      <c r="O267" s="167"/>
    </row>
    <row r="268" spans="3:15" ht="15.75">
      <c r="C268" s="165"/>
      <c r="D268" s="166"/>
      <c r="E268" s="166"/>
      <c r="F268" s="166"/>
      <c r="G268" s="166"/>
      <c r="L268" s="5"/>
      <c r="O268" s="167"/>
    </row>
    <row r="269" spans="3:15" ht="15.75">
      <c r="C269" s="165"/>
      <c r="D269" s="166"/>
      <c r="E269" s="166"/>
      <c r="F269" s="166"/>
      <c r="G269" s="166"/>
      <c r="L269" s="5"/>
      <c r="O269" s="167"/>
    </row>
    <row r="270" spans="3:15" ht="15.75">
      <c r="C270" s="165"/>
      <c r="D270" s="166"/>
      <c r="E270" s="166"/>
      <c r="F270" s="166"/>
      <c r="G270" s="166"/>
      <c r="L270" s="5"/>
      <c r="O270" s="167"/>
    </row>
    <row r="271" spans="12:15" ht="15.75">
      <c r="L271" s="5"/>
      <c r="O271" s="167"/>
    </row>
    <row r="272" spans="12:15" ht="15.75">
      <c r="L272" s="5"/>
      <c r="O272" s="167"/>
    </row>
    <row r="273" spans="12:15" ht="15.75">
      <c r="L273" s="5"/>
      <c r="O273" s="167"/>
    </row>
    <row r="274" spans="12:15" ht="15.75">
      <c r="L274" s="5"/>
      <c r="O274" s="167"/>
    </row>
    <row r="275" spans="12:15" ht="15.75">
      <c r="L275" s="5"/>
      <c r="O275" s="167"/>
    </row>
    <row r="276" spans="12:15" ht="15.75">
      <c r="L276" s="5"/>
      <c r="O276" s="167"/>
    </row>
    <row r="277" spans="12:15" ht="15.75">
      <c r="L277" s="5"/>
      <c r="O277" s="167"/>
    </row>
    <row r="278" spans="12:15" ht="15.75">
      <c r="L278" s="5"/>
      <c r="O278" s="167"/>
    </row>
    <row r="279" spans="12:15" ht="15.75">
      <c r="L279" s="5"/>
      <c r="O279" s="167"/>
    </row>
    <row r="280" spans="12:15" ht="15.75">
      <c r="L280" s="5"/>
      <c r="O280" s="167"/>
    </row>
    <row r="281" spans="12:15" ht="15.75">
      <c r="L281" s="5"/>
      <c r="O281" s="167"/>
    </row>
    <row r="282" spans="12:15" ht="15.75">
      <c r="L282" s="5"/>
      <c r="O282" s="167"/>
    </row>
    <row r="283" spans="12:15" ht="15.75">
      <c r="L283" s="5"/>
      <c r="O283" s="167"/>
    </row>
    <row r="284" spans="12:15" ht="15.75">
      <c r="L284" s="5"/>
      <c r="O284" s="167"/>
    </row>
    <row r="285" spans="12:15" ht="15.75">
      <c r="L285" s="5"/>
      <c r="O285" s="167"/>
    </row>
    <row r="286" spans="12:15" ht="15.75">
      <c r="L286" s="5"/>
      <c r="O286" s="167"/>
    </row>
    <row r="287" spans="12:15" ht="15.75">
      <c r="L287" s="5"/>
      <c r="O287" s="167"/>
    </row>
    <row r="288" spans="12:15" ht="15.75">
      <c r="L288" s="5"/>
      <c r="O288" s="167"/>
    </row>
    <row r="289" spans="12:15" ht="15.75">
      <c r="L289" s="5"/>
      <c r="O289" s="167"/>
    </row>
    <row r="290" spans="12:15" ht="15.75">
      <c r="L290" s="5"/>
      <c r="O290" s="167"/>
    </row>
    <row r="291" spans="12:15" ht="15.75">
      <c r="L291" s="5"/>
      <c r="O291" s="167"/>
    </row>
    <row r="292" spans="12:15" ht="15.75">
      <c r="L292" s="5"/>
      <c r="O292" s="167"/>
    </row>
    <row r="293" spans="12:15" ht="15.75">
      <c r="L293" s="5"/>
      <c r="O293" s="167"/>
    </row>
    <row r="294" spans="12:15" ht="15.75">
      <c r="L294" s="5"/>
      <c r="O294" s="167"/>
    </row>
    <row r="295" spans="12:15" ht="15.75">
      <c r="L295" s="5"/>
      <c r="O295" s="167"/>
    </row>
    <row r="296" spans="12:15" ht="15.75">
      <c r="L296" s="5"/>
      <c r="O296" s="167"/>
    </row>
    <row r="297" spans="12:15" ht="15.75">
      <c r="L297" s="5"/>
      <c r="O297" s="167"/>
    </row>
    <row r="298" spans="12:15" ht="15.75">
      <c r="L298" s="5"/>
      <c r="O298" s="167"/>
    </row>
    <row r="299" spans="12:15" ht="15.75">
      <c r="L299" s="5"/>
      <c r="O299" s="167"/>
    </row>
    <row r="300" spans="12:15" ht="15.75">
      <c r="L300" s="5"/>
      <c r="O300" s="167"/>
    </row>
    <row r="301" spans="12:15" ht="15.75">
      <c r="L301" s="5"/>
      <c r="O301" s="167"/>
    </row>
    <row r="302" spans="12:15" ht="15.75">
      <c r="L302" s="5"/>
      <c r="O302" s="167"/>
    </row>
    <row r="303" spans="12:15" ht="15.75">
      <c r="L303" s="5"/>
      <c r="O303" s="167"/>
    </row>
    <row r="304" spans="12:15" ht="15.75">
      <c r="L304" s="5"/>
      <c r="O304" s="167"/>
    </row>
    <row r="305" spans="12:15" ht="15.75">
      <c r="L305" s="5"/>
      <c r="O305" s="167"/>
    </row>
    <row r="306" spans="12:15" ht="15.75">
      <c r="L306" s="5"/>
      <c r="O306" s="167"/>
    </row>
    <row r="307" spans="12:15" ht="15.75">
      <c r="L307" s="5"/>
      <c r="O307" s="167"/>
    </row>
    <row r="308" spans="12:15" ht="15.75">
      <c r="L308" s="5"/>
      <c r="O308" s="167"/>
    </row>
    <row r="309" spans="12:15" ht="15.75">
      <c r="L309" s="5"/>
      <c r="O309" s="167"/>
    </row>
    <row r="310" spans="12:15" ht="15.75">
      <c r="L310" s="5"/>
      <c r="O310" s="167"/>
    </row>
    <row r="311" spans="12:15" ht="15.75">
      <c r="L311" s="5"/>
      <c r="O311" s="167"/>
    </row>
    <row r="312" spans="12:15" ht="15.75">
      <c r="L312" s="5"/>
      <c r="O312" s="167"/>
    </row>
    <row r="313" spans="12:15" ht="15.75">
      <c r="L313" s="5"/>
      <c r="O313" s="167"/>
    </row>
    <row r="314" spans="12:15" ht="15.75">
      <c r="L314" s="5"/>
      <c r="O314" s="167"/>
    </row>
    <row r="315" spans="12:15" ht="15.75">
      <c r="L315" s="5"/>
      <c r="O315" s="167"/>
    </row>
    <row r="316" spans="12:15" ht="15.75">
      <c r="L316" s="5"/>
      <c r="O316" s="167"/>
    </row>
    <row r="317" spans="12:15" ht="15.75">
      <c r="L317" s="5"/>
      <c r="O317" s="167"/>
    </row>
    <row r="318" spans="12:15" ht="15.75">
      <c r="L318" s="5"/>
      <c r="O318" s="167"/>
    </row>
    <row r="319" spans="12:15" ht="15.75">
      <c r="L319" s="5"/>
      <c r="O319" s="167"/>
    </row>
    <row r="320" spans="12:15" ht="15.75">
      <c r="L320" s="5"/>
      <c r="O320" s="167"/>
    </row>
    <row r="321" spans="12:15" ht="15.75">
      <c r="L321" s="5"/>
      <c r="O321" s="167"/>
    </row>
    <row r="322" spans="12:15" ht="15.75">
      <c r="L322" s="5"/>
      <c r="O322" s="167"/>
    </row>
    <row r="323" spans="12:15" ht="15.75">
      <c r="L323" s="5"/>
      <c r="O323" s="167"/>
    </row>
    <row r="324" spans="12:15" ht="15.75">
      <c r="L324" s="5"/>
      <c r="O324" s="167"/>
    </row>
    <row r="325" spans="12:15" ht="15.75">
      <c r="L325" s="5"/>
      <c r="O325" s="167"/>
    </row>
    <row r="326" spans="12:15" ht="15.75">
      <c r="L326" s="5"/>
      <c r="O326" s="167"/>
    </row>
    <row r="327" spans="12:15" ht="15.75">
      <c r="L327" s="5"/>
      <c r="O327" s="167"/>
    </row>
    <row r="328" spans="12:15" ht="15.75">
      <c r="L328" s="5"/>
      <c r="O328" s="167"/>
    </row>
    <row r="329" spans="12:15" ht="15.75">
      <c r="L329" s="5"/>
      <c r="O329" s="167"/>
    </row>
    <row r="330" spans="12:15" ht="15.75">
      <c r="L330" s="5"/>
      <c r="O330" s="167"/>
    </row>
    <row r="331" spans="12:15" ht="15.75">
      <c r="L331" s="5"/>
      <c r="O331" s="167"/>
    </row>
    <row r="332" spans="12:15" ht="15.75">
      <c r="L332" s="5"/>
      <c r="O332" s="167"/>
    </row>
    <row r="333" spans="12:15" ht="15.75">
      <c r="L333" s="5"/>
      <c r="O333" s="167"/>
    </row>
    <row r="334" spans="12:15" ht="15.75">
      <c r="L334" s="5"/>
      <c r="O334" s="167"/>
    </row>
    <row r="335" spans="12:15" ht="15.75">
      <c r="L335" s="5"/>
      <c r="O335" s="167"/>
    </row>
    <row r="336" spans="12:15" ht="15.75">
      <c r="L336" s="5"/>
      <c r="O336" s="167"/>
    </row>
    <row r="337" spans="12:15" ht="15.75">
      <c r="L337" s="5"/>
      <c r="O337" s="167"/>
    </row>
    <row r="338" spans="12:15" ht="15.75">
      <c r="L338" s="5"/>
      <c r="O338" s="167"/>
    </row>
    <row r="339" spans="12:15" ht="15.75">
      <c r="L339" s="5"/>
      <c r="O339" s="167"/>
    </row>
    <row r="340" spans="12:15" ht="15.75">
      <c r="L340" s="5"/>
      <c r="O340" s="167"/>
    </row>
    <row r="341" spans="12:15" ht="15.75">
      <c r="L341" s="5"/>
      <c r="O341" s="167"/>
    </row>
    <row r="342" spans="12:15" ht="15.75">
      <c r="L342" s="5"/>
      <c r="O342" s="167"/>
    </row>
    <row r="343" spans="12:15" ht="15.75">
      <c r="L343" s="5"/>
      <c r="O343" s="167"/>
    </row>
    <row r="344" spans="12:15" ht="15.75">
      <c r="L344" s="5"/>
      <c r="O344" s="167"/>
    </row>
    <row r="345" spans="12:15" ht="15.75">
      <c r="L345" s="5"/>
      <c r="O345" s="167"/>
    </row>
    <row r="346" spans="12:15" ht="15.75">
      <c r="L346" s="5"/>
      <c r="O346" s="167"/>
    </row>
    <row r="347" spans="12:15" ht="15.75">
      <c r="L347" s="5"/>
      <c r="O347" s="167"/>
    </row>
    <row r="348" spans="12:15" ht="15.75">
      <c r="L348" s="5"/>
      <c r="O348" s="167"/>
    </row>
    <row r="349" spans="12:15" ht="15.75">
      <c r="L349" s="5"/>
      <c r="O349" s="167"/>
    </row>
    <row r="350" spans="12:15" ht="15.75">
      <c r="L350" s="5"/>
      <c r="O350" s="167"/>
    </row>
    <row r="351" spans="12:15" ht="15.75">
      <c r="L351" s="5"/>
      <c r="O351" s="167"/>
    </row>
    <row r="352" spans="12:15" ht="15.75">
      <c r="L352" s="5"/>
      <c r="O352" s="167"/>
    </row>
    <row r="353" spans="12:15" ht="15.75">
      <c r="L353" s="5"/>
      <c r="O353" s="167"/>
    </row>
    <row r="354" spans="12:15" ht="15.75">
      <c r="L354" s="5"/>
      <c r="O354" s="167"/>
    </row>
    <row r="355" spans="12:15" ht="15.75">
      <c r="L355" s="5"/>
      <c r="O355" s="167"/>
    </row>
    <row r="356" spans="12:15" ht="15.75">
      <c r="L356" s="5"/>
      <c r="O356" s="167"/>
    </row>
    <row r="357" spans="12:15" ht="15.75">
      <c r="L357" s="5"/>
      <c r="O357" s="167"/>
    </row>
    <row r="358" spans="12:15" ht="15.75">
      <c r="L358" s="5"/>
      <c r="O358" s="167"/>
    </row>
    <row r="359" spans="12:15" ht="15.75">
      <c r="L359" s="5"/>
      <c r="O359" s="167"/>
    </row>
    <row r="360" spans="12:15" ht="15.75">
      <c r="L360" s="5"/>
      <c r="O360" s="167"/>
    </row>
    <row r="361" spans="12:15" ht="15.75">
      <c r="L361" s="5"/>
      <c r="O361" s="167"/>
    </row>
    <row r="362" spans="12:15" ht="15.75">
      <c r="L362" s="5"/>
      <c r="O362" s="167"/>
    </row>
    <row r="363" spans="12:15" ht="15.75">
      <c r="L363" s="5"/>
      <c r="O363" s="167"/>
    </row>
    <row r="364" spans="12:15" ht="15.75">
      <c r="L364" s="5"/>
      <c r="O364" s="167"/>
    </row>
    <row r="365" spans="12:15" ht="15.75">
      <c r="L365" s="5"/>
      <c r="O365" s="167"/>
    </row>
    <row r="366" spans="12:15" ht="15.75">
      <c r="L366" s="5"/>
      <c r="O366" s="167"/>
    </row>
    <row r="367" spans="12:15" ht="15.75">
      <c r="L367" s="5"/>
      <c r="O367" s="167"/>
    </row>
    <row r="368" spans="12:15" ht="15.75">
      <c r="L368" s="5"/>
      <c r="O368" s="167"/>
    </row>
    <row r="369" spans="12:15" ht="15.75">
      <c r="L369" s="5"/>
      <c r="O369" s="167"/>
    </row>
    <row r="370" spans="12:15" ht="15.75">
      <c r="L370" s="5"/>
      <c r="O370" s="167"/>
    </row>
    <row r="371" ht="15.75">
      <c r="O371" s="167"/>
    </row>
    <row r="372" ht="15.75">
      <c r="O372" s="167"/>
    </row>
    <row r="373" ht="15.75">
      <c r="O373" s="167"/>
    </row>
    <row r="374" ht="15.75">
      <c r="O374" s="167"/>
    </row>
    <row r="375" ht="15.75">
      <c r="O375" s="167"/>
    </row>
    <row r="376" ht="15.75">
      <c r="O376" s="167"/>
    </row>
    <row r="377" ht="15.75">
      <c r="O377" s="167"/>
    </row>
    <row r="378" ht="15.75">
      <c r="O378" s="167"/>
    </row>
    <row r="379" ht="15.75">
      <c r="O379" s="167"/>
    </row>
    <row r="380" ht="15.75">
      <c r="O380" s="167"/>
    </row>
    <row r="381" ht="15.75">
      <c r="O381" s="167"/>
    </row>
    <row r="382" ht="15.75">
      <c r="O382" s="167"/>
    </row>
    <row r="383" ht="15.75">
      <c r="O383" s="167"/>
    </row>
    <row r="384" ht="15.75">
      <c r="O384" s="167"/>
    </row>
    <row r="385" ht="15.75">
      <c r="O385" s="167"/>
    </row>
    <row r="386" ht="15.75">
      <c r="O386" s="167"/>
    </row>
    <row r="387" ht="15.75">
      <c r="O387" s="167"/>
    </row>
    <row r="388" ht="15.75">
      <c r="O388" s="167"/>
    </row>
    <row r="389" ht="15.75">
      <c r="O389" s="167"/>
    </row>
    <row r="390" ht="15.75">
      <c r="O390" s="167"/>
    </row>
    <row r="391" ht="15.75">
      <c r="O391" s="167"/>
    </row>
    <row r="392" ht="15.75">
      <c r="O392" s="167"/>
    </row>
    <row r="393" ht="15.75">
      <c r="O393" s="167"/>
    </row>
    <row r="394" ht="15.75">
      <c r="O394" s="167"/>
    </row>
    <row r="395" ht="15.75">
      <c r="O395" s="167"/>
    </row>
    <row r="396" ht="15.75">
      <c r="O396" s="167"/>
    </row>
    <row r="397" ht="15.75">
      <c r="O397" s="167"/>
    </row>
  </sheetData>
  <sheetProtection selectLockedCells="1" selectUnlockedCells="1"/>
  <mergeCells count="17">
    <mergeCell ref="F1:G4"/>
    <mergeCell ref="B5:G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</mergeCells>
  <printOptions/>
  <pageMargins left="0.5902777777777778" right="0.7083333333333334" top="0.7083333333333334" bottom="0.7083333333333334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2019-12-26T12:19:31Z</cp:lastPrinted>
  <dcterms:modified xsi:type="dcterms:W3CDTF">2020-05-06T10:44:25Z</dcterms:modified>
  <cp:category/>
  <cp:version/>
  <cp:contentType/>
  <cp:contentStatus/>
  <cp:revision>16</cp:revision>
</cp:coreProperties>
</file>