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" sheetId="1" r:id="rId1"/>
  </sheets>
  <definedNames>
    <definedName name="_xlnm.Print_Area" localSheetId="0">'2019'!$A$1:$J$254</definedName>
    <definedName name="OLE_LINK1" localSheetId="0">'2019'!$B$3</definedName>
  </definedNames>
  <calcPr fullCalcOnLoad="1"/>
</workbook>
</file>

<file path=xl/sharedStrings.xml><?xml version="1.0" encoding="utf-8"?>
<sst xmlns="http://schemas.openxmlformats.org/spreadsheetml/2006/main" count="742" uniqueCount="212">
  <si>
    <t xml:space="preserve">Приложение №4
К решению совета народных депутатов 
от                         № </t>
  </si>
  <si>
    <t>Исполнение   бюджета муниципального образования город Струнино по разделам и подразделам классификации расходов бюджета за 2019  год</t>
  </si>
  <si>
    <t>Код главного распорядителя средств районного бюджета</t>
  </si>
  <si>
    <t>Наименование</t>
  </si>
  <si>
    <t>Код раздела</t>
  </si>
  <si>
    <t>Код подраздела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</si>
  <si>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</si>
  <si>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</si>
  <si>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24.09.19        № </t>
  </si>
  <si>
    <t>Исполнение</t>
  </si>
  <si>
    <t>изменения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</si>
  <si>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</si>
  <si>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</si>
  <si>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</si>
  <si>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</si>
  <si>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</si>
  <si>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</si>
  <si>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 xml:space="preserve">Иные непрограммные расходы 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</si>
  <si>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</si>
  <si>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функций органов власти (Прочая закупка товаров, работ и услуг)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</si>
  <si>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</si>
  <si>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</si>
  <si>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</si>
  <si>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</si>
  <si>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</si>
  <si>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(Прочая закупка товаров, работ и услуг)</t>
  </si>
  <si>
    <t>Расходы на обеспечение функций органов власти (Иные бюджетные ассигнования)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</si>
  <si>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</si>
  <si>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</si>
  <si>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Проведение мероприятий (Прочая закупка товаров, работ и услуг)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</si>
  <si>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</si>
  <si>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</si>
  <si>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</si>
  <si>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</si>
  <si>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</si>
  <si>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</si>
  <si>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</si>
  <si>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</si>
  <si>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</si>
  <si>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</si>
  <si>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</si>
  <si>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</si>
  <si>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"Хозяйственно-техническое обеспечение деятельности муниципальных учреждений"</t>
  </si>
  <si>
    <t>Хозяйственно-техническое обеспечение деятельности муниципальных учреждений (Прочая закупка товаров, работ и услуг)</t>
  </si>
  <si>
    <t>Хозяйственно-техническое обеспечение деятельности муниципальных учреждений (Иные бюджетные ассигнования)</t>
  </si>
  <si>
    <t xml:space="preserve">Основное мероприятие "Расходы на оплату налогов, сборов и иных платежей" </t>
  </si>
  <si>
    <t>Расходы на обеспечение деятельности муниципальных учреждений (Иные бюджетные ассигнования)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</si>
  <si>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</si>
  <si>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</si>
  <si>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Проведение мероприятий (Социальное обеспечение и иные выплаты населению)</t>
  </si>
  <si>
    <t>Проведение мероприятий (Иные бюджетные ассигнования)</t>
  </si>
  <si>
    <t>Расходы на оплату налогов за имущество, находящегося в муниципальной собственности (Иные бюджетные ассигнования)</t>
  </si>
  <si>
    <t xml:space="preserve">Расходы на уплату членских взносов (Иные бюджетные ассигнования)
</t>
  </si>
  <si>
    <t>Национальная оборона</t>
  </si>
  <si>
    <t>02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</si>
  <si>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</si>
  <si>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</si>
  <si>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</si>
  <si>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</si>
  <si>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</si>
  <si>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</si>
  <si>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</si>
  <si>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</si>
  <si>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Проведение противопожарных мероприятий (Прочая закупка товаров, работ и услуг)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</si>
  <si>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</si>
  <si>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</si>
  <si>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</si>
  <si>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</si>
  <si>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</si>
  <si>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Основное мероприятие "Обеспечение безопасных условий жизнедеятельности на территории города Струнино"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</si>
  <si>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</si>
  <si>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</si>
  <si>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</si>
  <si>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</si>
  <si>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</si>
  <si>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</si>
  <si>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Основное мероприятие "Обращение с безнадзорными животными"</t>
  </si>
  <si>
    <t>Проведение мероприятий по обращению с безнадзорными животными (Прочая закупка товаров, работ и услуг)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</si>
  <si>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</si>
  <si>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</si>
  <si>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</si>
  <si>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</si>
  <si>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</si>
  <si>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бюджета (Прочая закупка товаров, работ и услуг)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</si>
  <si>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</si>
  <si>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</si>
  <si>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</si>
  <si>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</si>
  <si>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</si>
  <si>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Проведение мероприятий  по повышению безопасности дорожного движения" (Прочая закупка товаров, работ и услуг)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</si>
  <si>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</si>
  <si>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</si>
  <si>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</si>
  <si>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</si>
  <si>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</si>
  <si>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Основное мероприятие "Оформление права собственности"</t>
  </si>
  <si>
    <t>Проведение мероприятий  (Прочая закупка товаров, работ и услуг)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</si>
  <si>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</si>
  <si>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</si>
  <si>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</si>
  <si>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</si>
  <si>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</si>
  <si>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</si>
  <si>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</si>
  <si>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</si>
  <si>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</si>
  <si>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Основное мероприятие "Обеспечение территории города Струнино документами территориального планирования"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</si>
  <si>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</si>
  <si>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Жилищно-коммунальное хозяйство</t>
  </si>
  <si>
    <t>Жилищное хозяйство</t>
  </si>
  <si>
    <t>Муниципальная программа "Переселение граждан из аварийного жилищного фонда в муниципальном образовании город Струнино"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</si>
  <si>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</si>
  <si>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</si>
  <si>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(Прочая закупка товаров, работ и услуг)</t>
  </si>
  <si>
    <t>Субсидии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</si>
  <si>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Софинансирование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</si>
  <si>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(Социальное обеспечение и иные выплаты населению)</t>
  </si>
  <si>
    <t>Субсидии на обеспечение устойчивого сокращения непригодного для проживания жилищного фонда (Социальное обеспечение и иные выплаты населению)</t>
  </si>
  <si>
    <t>Расходы на оплату судебных решений (Иные бюджетные ассигнования)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</si>
  <si>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</si>
  <si>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</si>
  <si>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(Прочая закупка товаров, работ и услуг)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</si>
  <si>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</si>
  <si>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</si>
  <si>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</si>
  <si>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</si>
  <si>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газопровода (Прочая закупка товаров, работ и услуг)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</si>
  <si>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</si>
  <si>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</si>
  <si>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Расходы на оплату судебных решений (Прочая закупка товаров, работ и услуг)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</si>
  <si>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</si>
  <si>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</si>
  <si>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</si>
  <si>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>Уличное освещение (Прочая закупка товаров, работ и услуг)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</si>
  <si>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</si>
  <si>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</si>
  <si>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>Благоустройство мест захоронений  (Прочая закупка товаров, работ и услуг)</t>
  </si>
  <si>
    <t>Увековечивание памяти погибших при защите Отечества  (Прочая закупка товаров, работ и услуг)</t>
  </si>
  <si>
    <t>Основное мероприятие "Прочие мероприятия по благоустройству территории"</t>
  </si>
  <si>
    <t>Прочие мероприятия по благоустройству (Прочая закупка товаров, работ и услуг)</t>
  </si>
  <si>
    <t>Основное мероприятие "Содержание сетей уличного освещения"</t>
  </si>
  <si>
    <t>Содержание сетей уличного освещения (Прочая закупка товаров, работ и услуг)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</si>
  <si>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</si>
  <si>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</si>
  <si>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</si>
  <si>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</si>
  <si>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</si>
  <si>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Основное мероприятие " Благоустройство дворовых территорий"</t>
  </si>
  <si>
    <t>Благоустройство дворовых территорий  (Прочая закупка товаров, работ и услуг)</t>
  </si>
  <si>
    <t>Основное мероприятие " Благоустройство общественных территорий"</t>
  </si>
  <si>
    <t>Благоустройство территорий города Струнино (Прочая закупка товаров, работ и услуг)</t>
  </si>
  <si>
    <t>Основное мероприятие "Разработка дизайн-проектов"</t>
  </si>
  <si>
    <t>Проведение мероприятий по разработке дизайн-проектов (Прочая закупка товаров, работ и услуг)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</si>
  <si>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</si>
  <si>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(Прочая закупка товаров, работ и услуг)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</si>
  <si>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</si>
  <si>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</si>
  <si>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Проведение мероприятий по оплате энергосервисного контракта (Прочая закупка товаров, работ и услуг)</t>
  </si>
  <si>
    <t>Другие вопросы в области жилищно-коммунального хозяйства</t>
  </si>
  <si>
    <t>Охрана окружающей среды</t>
  </si>
  <si>
    <t>06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</si>
  <si>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</si>
  <si>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</si>
  <si>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Ликвидация стихийных свалок (Прочая закупка товаров, работ и услуг) нужд)</t>
  </si>
  <si>
    <t>Культура, кинематография</t>
  </si>
  <si>
    <t>08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</si>
  <si>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</si>
  <si>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</si>
  <si>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Основное мероприятие "Проведение культурно-массовых мероприятий"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</si>
  <si>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</si>
  <si>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</si>
  <si>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Основное мероприятие "Развитие и модернизация материально-технической базы учреждений культуры"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</si>
  <si>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</si>
  <si>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</si>
  <si>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</si>
  <si>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</si>
  <si>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Основное мероприятие "Антитеррористическая защищенность муниципальных учреждений"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</si>
  <si>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</si>
  <si>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</si>
  <si>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</si>
  <si>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</si>
  <si>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</si>
  <si>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Социальная политика</t>
  </si>
  <si>
    <t>10</t>
  </si>
  <si>
    <t>Пенсионное обеспечение</t>
  </si>
  <si>
    <t>Основное мероприятие "Доплата к пенсии за выслугу лет "</t>
  </si>
  <si>
    <t>Доплата к пенсии за выслугу лет (Социальное обеспечение и иные выплаты населению)</t>
  </si>
  <si>
    <t>Социальное обеспечение населения</t>
  </si>
  <si>
    <t>Основное мероприятие "Переселение граждан из аварийного жилищного фонда"</t>
  </si>
  <si>
    <t>Субсидии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</si>
  <si>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Софинансирование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</si>
  <si>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</si>
  <si>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"Обеспечение устойчивого сокращения непригодного для проживания жилищного фонда"</t>
  </si>
  <si>
    <t>Софинансирование на обеспечение устойчивого сокращения непригодного для проживания жилищного фонда (Социальное обеспечение и иные выплаты населению)</t>
  </si>
  <si>
    <t>Муниципальная программа "Обеспечение жильем молодых семей города Струнино муниципального образования город Струнино"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</si>
  <si>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</si>
  <si>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</si>
  <si>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</si>
  <si>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</si>
  <si>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</si>
  <si>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Расходы на оказание мер социальной поддержки гражданам (Социальное обеспечение и иные выплаты населению)</t>
  </si>
  <si>
    <t>Охрана семьи и детства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</si>
  <si>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</si>
  <si>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</si>
  <si>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</si>
  <si>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</si>
  <si>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</si>
  <si>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Основное мероприятие "Развитие физической культуры"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</si>
  <si>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</si>
  <si>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</si>
  <si>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>Другие вопросы в области физической культуры и спорта</t>
  </si>
  <si>
    <t>Всего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</si>
</sst>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0.00"/>
    <numFmt numFmtId="168" formatCode="0.00000"/>
    <numFmt numFmtId="169" formatCode="0.000"/>
    <numFmt numFmtId="170" formatCode="0.0000"/>
    <numFmt numFmtId="171" formatCode="General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5" fontId="13" fillId="0" borderId="2">
      <alignment horizontal="left" shrinkToFit="1"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38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0" fillId="8" borderId="0" xfId="0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wrapText="1"/>
    </xf>
    <xf numFmtId="164" fontId="9" fillId="0" borderId="0" xfId="0" applyFont="1" applyAlignment="1">
      <alignment vertical="center"/>
    </xf>
    <xf numFmtId="164" fontId="15" fillId="0" borderId="0" xfId="0" applyFont="1" applyBorder="1" applyAlignment="1">
      <alignment horizontal="right" vertical="top" wrapText="1"/>
    </xf>
    <xf numFmtId="166" fontId="15" fillId="0" borderId="0" xfId="0" applyNumberFormat="1" applyFont="1" applyBorder="1" applyAlignment="1">
      <alignment horizontal="right" vertical="top" wrapText="1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7" fillId="8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2" xfId="0" applyFont="1" applyFill="1" applyBorder="1" applyAlignment="1">
      <alignment horizontal="center" vertical="center" textRotation="90" wrapText="1"/>
    </xf>
    <xf numFmtId="164" fontId="17" fillId="9" borderId="2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4" fontId="19" fillId="9" borderId="2" xfId="0" applyFont="1" applyFill="1" applyBorder="1" applyAlignment="1">
      <alignment horizontal="center" vertical="center" wrapText="1"/>
    </xf>
    <xf numFmtId="164" fontId="19" fillId="8" borderId="2" xfId="0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5" fontId="17" fillId="9" borderId="2" xfId="0" applyNumberFormat="1" applyFont="1" applyFill="1" applyBorder="1" applyAlignment="1">
      <alignment horizontal="center" vertical="center" wrapText="1"/>
    </xf>
    <xf numFmtId="164" fontId="20" fillId="9" borderId="2" xfId="0" applyFont="1" applyFill="1" applyBorder="1" applyAlignment="1">
      <alignment horizontal="left" vertical="top" wrapText="1"/>
    </xf>
    <xf numFmtId="165" fontId="9" fillId="9" borderId="2" xfId="0" applyNumberFormat="1" applyFont="1" applyFill="1" applyBorder="1" applyAlignment="1">
      <alignment horizontal="center" vertical="center" wrapText="1"/>
    </xf>
    <xf numFmtId="167" fontId="17" fillId="9" borderId="2" xfId="0" applyNumberFormat="1" applyFont="1" applyFill="1" applyBorder="1" applyAlignment="1">
      <alignment horizontal="center" vertical="center" wrapText="1"/>
    </xf>
    <xf numFmtId="168" fontId="17" fillId="8" borderId="2" xfId="0" applyNumberFormat="1" applyFont="1" applyFill="1" applyBorder="1" applyAlignment="1">
      <alignment horizontal="center" vertical="center" wrapText="1"/>
    </xf>
    <xf numFmtId="168" fontId="17" fillId="9" borderId="2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17" fillId="0" borderId="2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center" wrapText="1"/>
    </xf>
    <xf numFmtId="164" fontId="21" fillId="9" borderId="2" xfId="0" applyFont="1" applyFill="1" applyBorder="1" applyAlignment="1">
      <alignment horizontal="left" vertical="top" wrapText="1"/>
    </xf>
    <xf numFmtId="167" fontId="17" fillId="8" borderId="2" xfId="0" applyNumberFormat="1" applyFont="1" applyFill="1" applyBorder="1" applyAlignment="1">
      <alignment horizontal="center" vertical="center" wrapText="1"/>
    </xf>
    <xf numFmtId="169" fontId="17" fillId="9" borderId="2" xfId="0" applyNumberFormat="1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top" wrapText="1"/>
    </xf>
    <xf numFmtId="165" fontId="21" fillId="9" borderId="2" xfId="0" applyNumberFormat="1" applyFont="1" applyFill="1" applyBorder="1" applyAlignment="1">
      <alignment horizontal="center" vertical="center" wrapText="1"/>
    </xf>
    <xf numFmtId="167" fontId="21" fillId="9" borderId="2" xfId="0" applyNumberFormat="1" applyFont="1" applyFill="1" applyBorder="1" applyAlignment="1">
      <alignment horizontal="center" vertical="center" wrapText="1"/>
    </xf>
    <xf numFmtId="167" fontId="21" fillId="8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left" vertical="top" wrapText="1"/>
    </xf>
    <xf numFmtId="164" fontId="22" fillId="0" borderId="4" xfId="0" applyNumberFormat="1" applyFont="1" applyFill="1" applyBorder="1" applyAlignment="1">
      <alignment horizontal="left" vertical="top" wrapText="1"/>
    </xf>
    <xf numFmtId="169" fontId="17" fillId="8" borderId="2" xfId="0" applyNumberFormat="1" applyFont="1" applyFill="1" applyBorder="1" applyAlignment="1">
      <alignment horizontal="center" vertical="center" wrapText="1"/>
    </xf>
    <xf numFmtId="169" fontId="21" fillId="8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left" vertical="top" wrapText="1"/>
    </xf>
    <xf numFmtId="165" fontId="21" fillId="0" borderId="2" xfId="0" applyNumberFormat="1" applyFont="1" applyBorder="1" applyAlignment="1">
      <alignment horizontal="center" vertical="center"/>
    </xf>
    <xf numFmtId="167" fontId="21" fillId="9" borderId="2" xfId="0" applyNumberFormat="1" applyFont="1" applyFill="1" applyBorder="1" applyAlignment="1">
      <alignment horizontal="center" vertical="center"/>
    </xf>
    <xf numFmtId="169" fontId="21" fillId="8" borderId="2" xfId="0" applyNumberFormat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left" vertical="top" wrapText="1"/>
    </xf>
    <xf numFmtId="167" fontId="21" fillId="0" borderId="2" xfId="0" applyNumberFormat="1" applyFont="1" applyBorder="1" applyAlignment="1">
      <alignment horizontal="center" vertical="center"/>
    </xf>
    <xf numFmtId="167" fontId="21" fillId="8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167" fontId="21" fillId="0" borderId="4" xfId="0" applyNumberFormat="1" applyFont="1" applyBorder="1" applyAlignment="1">
      <alignment horizontal="center" vertical="center"/>
    </xf>
    <xf numFmtId="169" fontId="21" fillId="8" borderId="4" xfId="0" applyNumberFormat="1" applyFont="1" applyFill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164" fontId="21" fillId="0" borderId="2" xfId="0" applyFont="1" applyBorder="1" applyAlignment="1">
      <alignment horizontal="left" vertical="top" wrapText="1"/>
    </xf>
    <xf numFmtId="164" fontId="21" fillId="0" borderId="2" xfId="0" applyFont="1" applyBorder="1" applyAlignment="1">
      <alignment horizontal="left" vertical="top"/>
    </xf>
    <xf numFmtId="165" fontId="17" fillId="0" borderId="2" xfId="0" applyNumberFormat="1" applyFont="1" applyBorder="1" applyAlignment="1">
      <alignment horizontal="center" vertical="center"/>
    </xf>
    <xf numFmtId="167" fontId="17" fillId="9" borderId="2" xfId="0" applyNumberFormat="1" applyFont="1" applyFill="1" applyBorder="1" applyAlignment="1">
      <alignment horizontal="center" vertical="center"/>
    </xf>
    <xf numFmtId="167" fontId="17" fillId="8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 wrapText="1"/>
    </xf>
    <xf numFmtId="167" fontId="22" fillId="9" borderId="2" xfId="0" applyNumberFormat="1" applyFont="1" applyFill="1" applyBorder="1" applyAlignment="1">
      <alignment horizontal="center" vertical="center"/>
    </xf>
    <xf numFmtId="167" fontId="22" fillId="8" borderId="2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/>
    </xf>
    <xf numFmtId="168" fontId="17" fillId="8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left" vertical="top" wrapText="1"/>
    </xf>
    <xf numFmtId="165" fontId="21" fillId="0" borderId="5" xfId="0" applyNumberFormat="1" applyFont="1" applyBorder="1" applyAlignment="1">
      <alignment horizontal="center" vertical="center"/>
    </xf>
    <xf numFmtId="167" fontId="21" fillId="9" borderId="5" xfId="0" applyNumberFormat="1" applyFont="1" applyFill="1" applyBorder="1" applyAlignment="1">
      <alignment horizontal="center" vertical="center"/>
    </xf>
    <xf numFmtId="167" fontId="21" fillId="8" borderId="5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70" fontId="21" fillId="8" borderId="2" xfId="0" applyNumberFormat="1" applyFont="1" applyFill="1" applyBorder="1" applyAlignment="1">
      <alignment horizontal="center" vertical="center"/>
    </xf>
    <xf numFmtId="164" fontId="22" fillId="9" borderId="2" xfId="69" applyFont="1" applyFill="1" applyBorder="1" applyAlignment="1">
      <alignment horizontal="left" vertical="top" wrapText="1"/>
      <protection/>
    </xf>
    <xf numFmtId="168" fontId="22" fillId="8" borderId="2" xfId="0" applyNumberFormat="1" applyFont="1" applyFill="1" applyBorder="1" applyAlignment="1">
      <alignment horizontal="center" vertical="center"/>
    </xf>
    <xf numFmtId="168" fontId="19" fillId="9" borderId="2" xfId="0" applyNumberFormat="1" applyFont="1" applyFill="1" applyBorder="1" applyAlignment="1">
      <alignment horizontal="center" vertical="center" wrapText="1"/>
    </xf>
    <xf numFmtId="169" fontId="19" fillId="9" borderId="2" xfId="0" applyNumberFormat="1" applyFont="1" applyFill="1" applyBorder="1" applyAlignment="1">
      <alignment horizontal="center" vertical="center" wrapText="1"/>
    </xf>
    <xf numFmtId="168" fontId="19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9" fontId="22" fillId="8" borderId="2" xfId="0" applyNumberFormat="1" applyFont="1" applyFill="1" applyBorder="1" applyAlignment="1">
      <alignment horizontal="center" vertical="center"/>
    </xf>
    <xf numFmtId="164" fontId="21" fillId="0" borderId="2" xfId="0" applyFont="1" applyBorder="1" applyAlignment="1">
      <alignment vertical="center" wrapText="1"/>
    </xf>
    <xf numFmtId="164" fontId="22" fillId="9" borderId="2" xfId="0" applyNumberFormat="1" applyFont="1" applyFill="1" applyBorder="1" applyAlignment="1">
      <alignment horizontal="left" vertical="top" wrapText="1"/>
    </xf>
    <xf numFmtId="165" fontId="22" fillId="0" borderId="4" xfId="0" applyNumberFormat="1" applyFont="1" applyFill="1" applyBorder="1" applyAlignment="1">
      <alignment horizontal="center" vertical="top" wrapText="1"/>
    </xf>
    <xf numFmtId="167" fontId="21" fillId="9" borderId="2" xfId="0" applyNumberFormat="1" applyFont="1" applyFill="1" applyBorder="1" applyAlignment="1">
      <alignment horizontal="center" vertical="top"/>
    </xf>
    <xf numFmtId="169" fontId="21" fillId="8" borderId="2" xfId="0" applyNumberFormat="1" applyFont="1" applyFill="1" applyBorder="1" applyAlignment="1">
      <alignment horizontal="center" vertical="top"/>
    </xf>
    <xf numFmtId="166" fontId="21" fillId="0" borderId="2" xfId="0" applyNumberFormat="1" applyFont="1" applyFill="1" applyBorder="1" applyAlignment="1">
      <alignment horizontal="center" vertical="top"/>
    </xf>
    <xf numFmtId="168" fontId="19" fillId="9" borderId="2" xfId="0" applyNumberFormat="1" applyFont="1" applyFill="1" applyBorder="1" applyAlignment="1">
      <alignment horizontal="center" vertical="top" wrapText="1"/>
    </xf>
    <xf numFmtId="169" fontId="21" fillId="0" borderId="2" xfId="0" applyNumberFormat="1" applyFont="1" applyFill="1" applyBorder="1" applyAlignment="1">
      <alignment horizontal="center" vertical="center"/>
    </xf>
    <xf numFmtId="170" fontId="17" fillId="8" borderId="2" xfId="0" applyNumberFormat="1" applyFont="1" applyFill="1" applyBorder="1" applyAlignment="1">
      <alignment horizontal="center" vertical="center"/>
    </xf>
    <xf numFmtId="170" fontId="17" fillId="0" borderId="2" xfId="0" applyNumberFormat="1" applyFont="1" applyFill="1" applyBorder="1" applyAlignment="1">
      <alignment horizontal="center" vertical="center" wrapText="1"/>
    </xf>
    <xf numFmtId="164" fontId="21" fillId="8" borderId="2" xfId="0" applyNumberFormat="1" applyFont="1" applyFill="1" applyBorder="1" applyAlignment="1">
      <alignment horizontal="center" vertical="center"/>
    </xf>
    <xf numFmtId="164" fontId="22" fillId="9" borderId="2" xfId="0" applyFont="1" applyFill="1" applyBorder="1" applyAlignment="1">
      <alignment horizontal="left" vertical="top" wrapText="1"/>
    </xf>
    <xf numFmtId="170" fontId="19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left" vertical="top" wrapText="1"/>
    </xf>
    <xf numFmtId="165" fontId="22" fillId="0" borderId="2" xfId="0" applyNumberFormat="1" applyFont="1" applyFill="1" applyBorder="1" applyAlignment="1">
      <alignment horizontal="center" vertical="top" wrapText="1"/>
    </xf>
    <xf numFmtId="167" fontId="21" fillId="8" borderId="2" xfId="0" applyNumberFormat="1" applyFont="1" applyFill="1" applyBorder="1" applyAlignment="1">
      <alignment horizontal="center" vertical="top"/>
    </xf>
    <xf numFmtId="164" fontId="19" fillId="9" borderId="2" xfId="0" applyFont="1" applyFill="1" applyBorder="1" applyAlignment="1">
      <alignment horizontal="left" vertical="top" wrapText="1"/>
    </xf>
    <xf numFmtId="164" fontId="24" fillId="0" borderId="2" xfId="0" applyFont="1" applyBorder="1" applyAlignment="1">
      <alignment horizontal="left" vertical="top"/>
    </xf>
    <xf numFmtId="169" fontId="17" fillId="0" borderId="2" xfId="0" applyNumberFormat="1" applyFont="1" applyFill="1" applyBorder="1" applyAlignment="1">
      <alignment horizontal="center" vertical="center" wrapText="1"/>
    </xf>
    <xf numFmtId="169" fontId="19" fillId="0" borderId="2" xfId="0" applyNumberFormat="1" applyFont="1" applyFill="1" applyBorder="1" applyAlignment="1">
      <alignment horizontal="center" vertical="center" wrapText="1"/>
    </xf>
    <xf numFmtId="164" fontId="22" fillId="0" borderId="2" xfId="0" applyFont="1" applyBorder="1" applyAlignment="1">
      <alignment horizontal="left" vertical="top" wrapText="1"/>
    </xf>
    <xf numFmtId="168" fontId="21" fillId="8" borderId="2" xfId="0" applyNumberFormat="1" applyFont="1" applyFill="1" applyBorder="1" applyAlignment="1">
      <alignment horizontal="center" vertical="center"/>
    </xf>
    <xf numFmtId="170" fontId="17" fillId="9" borderId="2" xfId="0" applyNumberFormat="1" applyFont="1" applyFill="1" applyBorder="1" applyAlignment="1">
      <alignment horizontal="center" vertical="center" wrapText="1"/>
    </xf>
    <xf numFmtId="170" fontId="22" fillId="8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Border="1" applyAlignment="1">
      <alignment horizontal="center" vertical="center"/>
    </xf>
    <xf numFmtId="164" fontId="22" fillId="0" borderId="4" xfId="0" applyFont="1" applyFill="1" applyBorder="1" applyAlignment="1">
      <alignment horizontal="left" vertical="top" wrapText="1"/>
    </xf>
    <xf numFmtId="167" fontId="21" fillId="8" borderId="4" xfId="0" applyNumberFormat="1" applyFont="1" applyFill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/>
    </xf>
    <xf numFmtId="164" fontId="22" fillId="9" borderId="4" xfId="0" applyNumberFormat="1" applyFont="1" applyFill="1" applyBorder="1" applyAlignment="1">
      <alignment horizontal="left" vertical="top" wrapText="1"/>
    </xf>
    <xf numFmtId="169" fontId="17" fillId="8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left" vertical="top" wrapText="1"/>
    </xf>
    <xf numFmtId="165" fontId="21" fillId="0" borderId="2" xfId="0" applyNumberFormat="1" applyFont="1" applyBorder="1" applyAlignment="1">
      <alignment horizontal="center" vertical="top"/>
    </xf>
    <xf numFmtId="168" fontId="17" fillId="0" borderId="2" xfId="0" applyNumberFormat="1" applyFont="1" applyFill="1" applyBorder="1" applyAlignment="1">
      <alignment horizontal="center" vertical="top" wrapText="1"/>
    </xf>
    <xf numFmtId="164" fontId="21" fillId="0" borderId="4" xfId="0" applyFont="1" applyBorder="1" applyAlignment="1">
      <alignment horizontal="left" vertical="top" wrapText="1"/>
    </xf>
    <xf numFmtId="165" fontId="21" fillId="0" borderId="6" xfId="0" applyNumberFormat="1" applyFont="1" applyBorder="1" applyAlignment="1">
      <alignment horizontal="center" vertical="center"/>
    </xf>
    <xf numFmtId="164" fontId="23" fillId="0" borderId="5" xfId="0" applyFont="1" applyFill="1" applyBorder="1" applyAlignment="1">
      <alignment horizontal="left" vertical="top" wrapText="1"/>
    </xf>
    <xf numFmtId="164" fontId="23" fillId="0" borderId="2" xfId="0" applyFont="1" applyFill="1" applyBorder="1" applyAlignment="1">
      <alignment horizontal="left" vertical="top" wrapText="1"/>
    </xf>
    <xf numFmtId="164" fontId="0" fillId="9" borderId="2" xfId="0" applyNumberForma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4" fontId="0" fillId="9" borderId="2" xfId="0" applyFill="1" applyBorder="1" applyAlignment="1">
      <alignment/>
    </xf>
    <xf numFmtId="165" fontId="17" fillId="0" borderId="7" xfId="0" applyNumberFormat="1" applyFont="1" applyFill="1" applyBorder="1" applyAlignment="1" applyProtection="1">
      <alignment horizontal="left" vertical="top" wrapText="1"/>
      <protection/>
    </xf>
    <xf numFmtId="165" fontId="17" fillId="0" borderId="6" xfId="0" applyNumberFormat="1" applyFont="1" applyBorder="1" applyAlignment="1">
      <alignment horizontal="center" vertical="center"/>
    </xf>
    <xf numFmtId="167" fontId="19" fillId="0" borderId="2" xfId="0" applyNumberFormat="1" applyFont="1" applyBorder="1" applyAlignment="1">
      <alignment horizontal="center" vertical="center"/>
    </xf>
    <xf numFmtId="167" fontId="19" fillId="8" borderId="2" xfId="0" applyNumberFormat="1" applyFont="1" applyFill="1" applyBorder="1" applyAlignment="1">
      <alignment horizontal="center" vertical="center"/>
    </xf>
    <xf numFmtId="164" fontId="17" fillId="0" borderId="5" xfId="0" applyFont="1" applyBorder="1" applyAlignment="1">
      <alignment horizontal="left" vertical="top" wrapText="1"/>
    </xf>
    <xf numFmtId="164" fontId="22" fillId="0" borderId="2" xfId="69" applyFont="1" applyFill="1" applyBorder="1" applyAlignment="1">
      <alignment horizontal="left" vertical="top" wrapText="1"/>
      <protection/>
    </xf>
    <xf numFmtId="165" fontId="21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164" fontId="19" fillId="9" borderId="2" xfId="69" applyFont="1" applyFill="1" applyBorder="1" applyAlignment="1">
      <alignment horizontal="left" vertical="top" wrapText="1"/>
      <protection/>
    </xf>
    <xf numFmtId="164" fontId="0" fillId="0" borderId="8" xfId="0" applyBorder="1" applyAlignment="1">
      <alignment/>
    </xf>
    <xf numFmtId="164" fontId="0" fillId="0" borderId="5" xfId="0" applyBorder="1" applyAlignment="1">
      <alignment/>
    </xf>
    <xf numFmtId="168" fontId="0" fillId="0" borderId="0" xfId="0" applyNumberFormat="1" applyFill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  <cellStyle name="xl28" xfId="68"/>
    <cellStyle name="Обычный 2" xfId="69"/>
    <cellStyle name="Обычный 2 2" xfId="70"/>
    <cellStyle name="Обычный 3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7"/>
  <sheetViews>
    <sheetView tabSelected="1" workbookViewId="0" topLeftCell="B77">
      <selection activeCell="P7" sqref="P7"/>
    </sheetView>
  </sheetViews>
  <sheetFormatPr defaultColWidth="8.00390625" defaultRowHeight="15"/>
  <cols>
    <col min="1" max="1" width="7.00390625" style="0" customWidth="1"/>
    <col min="2" max="2" width="50.140625" style="0" customWidth="1"/>
    <col min="3" max="3" width="9.8515625" style="0" customWidth="1"/>
    <col min="4" max="4" width="8.8515625" style="0" customWidth="1"/>
    <col min="5" max="5" width="15.57421875" style="1" hidden="1" customWidth="1"/>
    <col min="6" max="6" width="13.28125" style="2" hidden="1" customWidth="1"/>
    <col min="7" max="7" width="12.421875" style="1" hidden="1" customWidth="1"/>
    <col min="8" max="8" width="15.00390625" style="1" hidden="1" customWidth="1"/>
    <col min="9" max="9" width="21.8515625" style="3" customWidth="1"/>
    <col min="10" max="10" width="17.7109375" style="4" hidden="1" customWidth="1"/>
    <col min="11" max="11" width="6.421875" style="5" customWidth="1"/>
    <col min="12" max="16384" width="8.57421875" style="0" customWidth="1"/>
  </cols>
  <sheetData>
    <row r="1" ht="5.25" customHeight="1"/>
    <row r="2" ht="15.75" hidden="1"/>
    <row r="3" spans="2:10" ht="66" customHeight="1">
      <c r="B3" s="6"/>
      <c r="E3" s="7"/>
      <c r="F3" s="7"/>
      <c r="G3" s="7"/>
      <c r="H3" s="7"/>
      <c r="I3" s="8" t="s">
        <v>0</v>
      </c>
      <c r="J3" s="7"/>
    </row>
    <row r="4" spans="2:9" ht="31.5" customHeight="1">
      <c r="B4" s="9" t="s">
        <v>1</v>
      </c>
      <c r="C4" s="9"/>
      <c r="D4" s="9"/>
      <c r="E4" s="9"/>
      <c r="F4" s="9"/>
      <c r="G4" s="9"/>
      <c r="H4" s="9"/>
      <c r="I4" s="9"/>
    </row>
    <row r="5" spans="2:9" ht="15" customHeight="1">
      <c r="B5" s="9"/>
      <c r="C5" s="9"/>
      <c r="D5" s="9"/>
      <c r="E5" s="9"/>
      <c r="F5" s="9"/>
      <c r="G5" s="9"/>
      <c r="H5" s="9"/>
      <c r="I5" s="9"/>
    </row>
    <row r="6" spans="2:10" ht="6.75" customHeight="1">
      <c r="B6" s="10"/>
      <c r="C6" s="10"/>
      <c r="D6" s="10"/>
      <c r="E6" s="10"/>
      <c r="F6" s="11"/>
      <c r="G6" s="10"/>
      <c r="H6" s="10"/>
      <c r="I6" s="12"/>
      <c r="J6" s="13"/>
    </row>
    <row r="7" spans="1:10" ht="123" customHeight="1">
      <c r="A7" s="14" t="s">
        <v>2</v>
      </c>
      <c r="B7" s="15" t="s">
        <v>3</v>
      </c>
      <c r="C7" s="16" t="s">
        <v>4</v>
      </c>
      <c r="D7" s="16" t="s">
        <v>5</v>
      </c>
      <c r="E7" s="17" t="s">
        <v>6</v>
      </c>
      <c r="F7" s="18" t="s">
        <v>7</v>
      </c>
      <c r="G7" s="17">
        <v>2019</v>
      </c>
      <c r="H7" s="18" t="s">
        <v>8</v>
      </c>
      <c r="I7" s="19" t="s">
        <v>9</v>
      </c>
      <c r="J7" s="20" t="s">
        <v>10</v>
      </c>
    </row>
    <row r="8" spans="1:10" ht="17.25" customHeight="1">
      <c r="A8" s="14"/>
      <c r="B8" s="15"/>
      <c r="C8" s="16"/>
      <c r="D8" s="16"/>
      <c r="E8" s="17"/>
      <c r="F8" s="18"/>
      <c r="G8" s="17"/>
      <c r="H8" s="18"/>
      <c r="I8" s="19"/>
      <c r="J8" s="20"/>
    </row>
    <row r="9" spans="1:10" ht="35.25" customHeight="1" hidden="1">
      <c r="A9" s="21">
        <v>703</v>
      </c>
      <c r="B9" s="22" t="s">
        <v>11</v>
      </c>
      <c r="C9" s="23"/>
      <c r="D9" s="23"/>
      <c r="E9" s="24" t="e">
        <f>E10+E54+E60+E72+E119+E183+E188+E213+E242</f>
        <v>#REF!</v>
      </c>
      <c r="F9" s="25">
        <f>F10+F54+F60+F72+F119+F183+F188+F213+F242</f>
        <v>162964.29811000003</v>
      </c>
      <c r="G9" s="26" t="e">
        <f>F9-E9</f>
        <v>#REF!</v>
      </c>
      <c r="H9" s="25">
        <f>H10+H54+H60+H72+H119+H183+H188+H213+H242</f>
        <v>172801.29811</v>
      </c>
      <c r="I9" s="27">
        <f>I10+I54+I60+I72+I119+I183+I188+I213+I242</f>
        <v>157421.77320999996</v>
      </c>
      <c r="J9" s="28">
        <f aca="true" t="shared" si="0" ref="J9:J204">I9-H9</f>
        <v>-15379.524900000048</v>
      </c>
    </row>
    <row r="10" spans="1:10" ht="21" customHeight="1">
      <c r="A10" s="29"/>
      <c r="B10" s="30" t="s">
        <v>12</v>
      </c>
      <c r="C10" s="21" t="s">
        <v>13</v>
      </c>
      <c r="D10" s="31"/>
      <c r="E10" s="24">
        <f>E11+E16+E26+E30</f>
        <v>18505.5</v>
      </c>
      <c r="F10" s="25">
        <f>F11+F16+F26+F30</f>
        <v>21281.988</v>
      </c>
      <c r="G10" s="26">
        <f>F10-E10+2</f>
        <v>2778.488000000001</v>
      </c>
      <c r="H10" s="25">
        <f>H11+H16+H26+H30</f>
        <v>22596.988</v>
      </c>
      <c r="I10" s="27">
        <f>I11+I16+I26+I30</f>
        <v>19337.243919999997</v>
      </c>
      <c r="J10" s="28">
        <f t="shared" si="0"/>
        <v>-3259.744080000004</v>
      </c>
    </row>
    <row r="11" spans="1:10" ht="53.25">
      <c r="A11" s="29"/>
      <c r="B11" s="32" t="s">
        <v>14</v>
      </c>
      <c r="C11" s="21" t="s">
        <v>13</v>
      </c>
      <c r="D11" s="21" t="s">
        <v>15</v>
      </c>
      <c r="E11" s="24">
        <f aca="true" t="shared" si="1" ref="E11:E12">E12</f>
        <v>281.7</v>
      </c>
      <c r="F11" s="33">
        <f aca="true" t="shared" si="2" ref="F11:F12">F12</f>
        <v>329</v>
      </c>
      <c r="G11" s="34">
        <f aca="true" t="shared" si="3" ref="G11:G46">F11-E11</f>
        <v>47.30000000000001</v>
      </c>
      <c r="H11" s="33">
        <f aca="true" t="shared" si="4" ref="H11:H12">H12</f>
        <v>329</v>
      </c>
      <c r="I11" s="27">
        <f aca="true" t="shared" si="5" ref="I11:I12">I12</f>
        <v>286.6</v>
      </c>
      <c r="J11" s="28">
        <f t="shared" si="0"/>
        <v>-42.39999999999998</v>
      </c>
    </row>
    <row r="12" spans="1:10" ht="16.5" hidden="1">
      <c r="A12" s="29"/>
      <c r="B12" s="35" t="s">
        <v>16</v>
      </c>
      <c r="C12" s="36" t="s">
        <v>13</v>
      </c>
      <c r="D12" s="36" t="s">
        <v>15</v>
      </c>
      <c r="E12" s="37">
        <f t="shared" si="1"/>
        <v>281.7</v>
      </c>
      <c r="F12" s="38">
        <f t="shared" si="2"/>
        <v>329</v>
      </c>
      <c r="G12" s="34">
        <f t="shared" si="3"/>
        <v>47.30000000000001</v>
      </c>
      <c r="H12" s="38">
        <f t="shared" si="4"/>
        <v>329</v>
      </c>
      <c r="I12" s="39">
        <f t="shared" si="5"/>
        <v>286.6</v>
      </c>
      <c r="J12" s="28">
        <f t="shared" si="0"/>
        <v>-42.39999999999998</v>
      </c>
    </row>
    <row r="13" spans="1:10" ht="16.5" hidden="1">
      <c r="A13" s="29"/>
      <c r="B13" s="35" t="s">
        <v>17</v>
      </c>
      <c r="C13" s="36" t="s">
        <v>13</v>
      </c>
      <c r="D13" s="36" t="s">
        <v>15</v>
      </c>
      <c r="E13" s="37">
        <f>E14+E15</f>
        <v>281.7</v>
      </c>
      <c r="F13" s="38">
        <f>F14+F15</f>
        <v>329</v>
      </c>
      <c r="G13" s="34">
        <f t="shared" si="3"/>
        <v>47.30000000000001</v>
      </c>
      <c r="H13" s="38">
        <f>H14+H15</f>
        <v>329</v>
      </c>
      <c r="I13" s="39">
        <f>I14+I15</f>
        <v>286.6</v>
      </c>
      <c r="J13" s="28">
        <f t="shared" si="0"/>
        <v>-42.39999999999998</v>
      </c>
    </row>
    <row r="14" spans="1:10" ht="87" customHeight="1" hidden="1">
      <c r="A14" s="29"/>
      <c r="B14" s="40" t="s">
        <v>18</v>
      </c>
      <c r="C14" s="36" t="s">
        <v>13</v>
      </c>
      <c r="D14" s="36" t="s">
        <v>15</v>
      </c>
      <c r="E14" s="37">
        <v>250.7</v>
      </c>
      <c r="F14" s="38">
        <f>250.7+17.3</f>
        <v>268</v>
      </c>
      <c r="G14" s="34">
        <f t="shared" si="3"/>
        <v>17.30000000000001</v>
      </c>
      <c r="H14" s="38">
        <f>250.7+17.3</f>
        <v>268</v>
      </c>
      <c r="I14" s="39">
        <v>272.1</v>
      </c>
      <c r="J14" s="28">
        <f t="shared" si="0"/>
        <v>4.100000000000023</v>
      </c>
    </row>
    <row r="15" spans="1:10" ht="40.5" hidden="1">
      <c r="A15" s="29"/>
      <c r="B15" s="41" t="s">
        <v>19</v>
      </c>
      <c r="C15" s="36" t="s">
        <v>13</v>
      </c>
      <c r="D15" s="36" t="s">
        <v>15</v>
      </c>
      <c r="E15" s="37">
        <v>31</v>
      </c>
      <c r="F15" s="38">
        <f>31+30</f>
        <v>61</v>
      </c>
      <c r="G15" s="34">
        <f t="shared" si="3"/>
        <v>30</v>
      </c>
      <c r="H15" s="38">
        <f>31+30</f>
        <v>61</v>
      </c>
      <c r="I15" s="39">
        <v>14.5</v>
      </c>
      <c r="J15" s="28">
        <f t="shared" si="0"/>
        <v>-46.5</v>
      </c>
    </row>
    <row r="16" spans="1:10" ht="62.25" customHeight="1">
      <c r="A16" s="29"/>
      <c r="B16" s="35" t="s">
        <v>20</v>
      </c>
      <c r="C16" s="21" t="s">
        <v>13</v>
      </c>
      <c r="D16" s="21" t="s">
        <v>21</v>
      </c>
      <c r="E16" s="24">
        <f>E17+E23</f>
        <v>2902</v>
      </c>
      <c r="F16" s="42">
        <f>F17+F23</f>
        <v>2888.719</v>
      </c>
      <c r="G16" s="34">
        <f t="shared" si="3"/>
        <v>-13.280999999999949</v>
      </c>
      <c r="H16" s="42">
        <f>H17+H23</f>
        <v>2888.719</v>
      </c>
      <c r="I16" s="27">
        <f>I17+I23</f>
        <v>2412.7</v>
      </c>
      <c r="J16" s="28">
        <f t="shared" si="0"/>
        <v>-476.01900000000023</v>
      </c>
    </row>
    <row r="17" spans="1:10" ht="16.5" hidden="1">
      <c r="A17" s="29"/>
      <c r="B17" s="32" t="s">
        <v>22</v>
      </c>
      <c r="C17" s="36" t="s">
        <v>13</v>
      </c>
      <c r="D17" s="36" t="s">
        <v>21</v>
      </c>
      <c r="E17" s="37">
        <f>E18</f>
        <v>2892</v>
      </c>
      <c r="F17" s="43">
        <f>F18</f>
        <v>2888.719</v>
      </c>
      <c r="G17" s="34">
        <f t="shared" si="3"/>
        <v>-3.280999999999949</v>
      </c>
      <c r="H17" s="43">
        <f>H18</f>
        <v>2888.719</v>
      </c>
      <c r="I17" s="39">
        <f>I18</f>
        <v>2412.7</v>
      </c>
      <c r="J17" s="28">
        <f t="shared" si="0"/>
        <v>-476.01900000000023</v>
      </c>
    </row>
    <row r="18" spans="1:10" ht="16.5" hidden="1">
      <c r="A18" s="29"/>
      <c r="B18" s="44" t="s">
        <v>17</v>
      </c>
      <c r="C18" s="45" t="s">
        <v>13</v>
      </c>
      <c r="D18" s="45" t="s">
        <v>21</v>
      </c>
      <c r="E18" s="46">
        <f>E19+E20+E21</f>
        <v>2892</v>
      </c>
      <c r="F18" s="47">
        <f>F19+F20+F21+F22</f>
        <v>2888.719</v>
      </c>
      <c r="G18" s="34">
        <f t="shared" si="3"/>
        <v>-3.280999999999949</v>
      </c>
      <c r="H18" s="47">
        <f>H19+H20+H21+H22</f>
        <v>2888.719</v>
      </c>
      <c r="I18" s="48">
        <f>I19+I20+I21+I22</f>
        <v>2412.7</v>
      </c>
      <c r="J18" s="28">
        <f t="shared" si="0"/>
        <v>-476.01900000000023</v>
      </c>
    </row>
    <row r="19" spans="1:10" ht="89.25" customHeight="1" hidden="1">
      <c r="A19" s="29"/>
      <c r="B19" s="49" t="s">
        <v>23</v>
      </c>
      <c r="C19" s="45" t="s">
        <v>13</v>
      </c>
      <c r="D19" s="45" t="s">
        <v>21</v>
      </c>
      <c r="E19" s="50">
        <v>1003.1</v>
      </c>
      <c r="F19" s="51">
        <v>1003.1</v>
      </c>
      <c r="G19" s="34">
        <f t="shared" si="3"/>
        <v>0</v>
      </c>
      <c r="H19" s="51">
        <v>1003.1</v>
      </c>
      <c r="I19" s="48">
        <v>1019.6</v>
      </c>
      <c r="J19" s="28">
        <f t="shared" si="0"/>
        <v>16.5</v>
      </c>
    </row>
    <row r="20" spans="1:10" ht="89.25" customHeight="1" hidden="1">
      <c r="A20" s="29"/>
      <c r="B20" s="40" t="s">
        <v>24</v>
      </c>
      <c r="C20" s="52" t="s">
        <v>13</v>
      </c>
      <c r="D20" s="52" t="s">
        <v>21</v>
      </c>
      <c r="E20" s="50">
        <v>1862.9</v>
      </c>
      <c r="F20" s="51">
        <v>1862.9</v>
      </c>
      <c r="G20" s="34">
        <f t="shared" si="3"/>
        <v>0</v>
      </c>
      <c r="H20" s="51">
        <v>1862.9</v>
      </c>
      <c r="I20" s="48">
        <v>1370.4</v>
      </c>
      <c r="J20" s="28">
        <f t="shared" si="0"/>
        <v>-492.5</v>
      </c>
    </row>
    <row r="21" spans="1:10" ht="27.75" hidden="1">
      <c r="A21" s="29"/>
      <c r="B21" s="40" t="s">
        <v>25</v>
      </c>
      <c r="C21" s="53" t="s">
        <v>13</v>
      </c>
      <c r="D21" s="53" t="s">
        <v>21</v>
      </c>
      <c r="E21" s="54">
        <v>26</v>
      </c>
      <c r="F21" s="55">
        <f>26-3.281</f>
        <v>22.719</v>
      </c>
      <c r="G21" s="34">
        <f t="shared" si="3"/>
        <v>-3.280999999999999</v>
      </c>
      <c r="H21" s="55">
        <f>26-3.281</f>
        <v>22.719</v>
      </c>
      <c r="I21" s="56">
        <v>22.7</v>
      </c>
      <c r="J21" s="28">
        <f t="shared" si="0"/>
        <v>-0.019000000000001904</v>
      </c>
    </row>
    <row r="22" spans="1:10" ht="27.75" hidden="1">
      <c r="A22" s="29"/>
      <c r="B22" s="40" t="s">
        <v>26</v>
      </c>
      <c r="C22" s="53" t="s">
        <v>13</v>
      </c>
      <c r="D22" s="53" t="s">
        <v>21</v>
      </c>
      <c r="E22" s="54">
        <v>0</v>
      </c>
      <c r="F22" s="55">
        <f>13.281-13.281</f>
        <v>0</v>
      </c>
      <c r="G22" s="34">
        <f t="shared" si="3"/>
        <v>0</v>
      </c>
      <c r="H22" s="55">
        <f>13.281-13.281</f>
        <v>0</v>
      </c>
      <c r="I22" s="56">
        <f>13.281-13.281</f>
        <v>0</v>
      </c>
      <c r="J22" s="28">
        <f t="shared" si="0"/>
        <v>0</v>
      </c>
    </row>
    <row r="23" spans="1:10" ht="50.25" customHeight="1" hidden="1">
      <c r="A23" s="29"/>
      <c r="B23" s="57" t="s">
        <v>27</v>
      </c>
      <c r="C23" s="53" t="s">
        <v>13</v>
      </c>
      <c r="D23" s="53" t="s">
        <v>21</v>
      </c>
      <c r="E23" s="50">
        <f aca="true" t="shared" si="6" ref="E23:E24">E24</f>
        <v>10</v>
      </c>
      <c r="F23" s="51">
        <f aca="true" t="shared" si="7" ref="F23:F24">F24</f>
        <v>0</v>
      </c>
      <c r="G23" s="34">
        <f t="shared" si="3"/>
        <v>-10</v>
      </c>
      <c r="H23" s="51">
        <f aca="true" t="shared" si="8" ref="H23:H24">H24</f>
        <v>0</v>
      </c>
      <c r="I23" s="48">
        <f aca="true" t="shared" si="9" ref="I23:I24">I24</f>
        <v>0</v>
      </c>
      <c r="J23" s="28">
        <f t="shared" si="0"/>
        <v>0</v>
      </c>
    </row>
    <row r="24" spans="1:10" ht="40.5" hidden="1">
      <c r="A24" s="29"/>
      <c r="B24" s="40" t="s">
        <v>28</v>
      </c>
      <c r="C24" s="53" t="s">
        <v>13</v>
      </c>
      <c r="D24" s="53" t="s">
        <v>21</v>
      </c>
      <c r="E24" s="50">
        <f t="shared" si="6"/>
        <v>10</v>
      </c>
      <c r="F24" s="51">
        <f t="shared" si="7"/>
        <v>0</v>
      </c>
      <c r="G24" s="34">
        <f t="shared" si="3"/>
        <v>-10</v>
      </c>
      <c r="H24" s="51">
        <f t="shared" si="8"/>
        <v>0</v>
      </c>
      <c r="I24" s="48">
        <f t="shared" si="9"/>
        <v>0</v>
      </c>
      <c r="J24" s="28">
        <f t="shared" si="0"/>
        <v>0</v>
      </c>
    </row>
    <row r="25" spans="1:10" ht="39" customHeight="1" hidden="1">
      <c r="A25" s="29"/>
      <c r="B25" s="40" t="s">
        <v>29</v>
      </c>
      <c r="C25" s="53" t="s">
        <v>13</v>
      </c>
      <c r="D25" s="53" t="s">
        <v>21</v>
      </c>
      <c r="E25" s="50">
        <v>10</v>
      </c>
      <c r="F25" s="51">
        <f>10-10</f>
        <v>0</v>
      </c>
      <c r="G25" s="34">
        <f t="shared" si="3"/>
        <v>-10</v>
      </c>
      <c r="H25" s="51">
        <f>10-10</f>
        <v>0</v>
      </c>
      <c r="I25" s="48">
        <f>10-10</f>
        <v>0</v>
      </c>
      <c r="J25" s="28">
        <f t="shared" si="0"/>
        <v>0</v>
      </c>
    </row>
    <row r="26" spans="1:10" ht="15" customHeight="1" hidden="1">
      <c r="A26" s="29"/>
      <c r="B26" s="58" t="s">
        <v>30</v>
      </c>
      <c r="C26" s="59" t="s">
        <v>13</v>
      </c>
      <c r="D26" s="59" t="s">
        <v>31</v>
      </c>
      <c r="E26" s="60">
        <f aca="true" t="shared" si="10" ref="E26:E28">E27</f>
        <v>20</v>
      </c>
      <c r="F26" s="61">
        <f aca="true" t="shared" si="11" ref="F26:F28">F27</f>
        <v>20</v>
      </c>
      <c r="G26" s="34">
        <f t="shared" si="3"/>
        <v>0</v>
      </c>
      <c r="H26" s="61">
        <f aca="true" t="shared" si="12" ref="H26:H28">H27</f>
        <v>20</v>
      </c>
      <c r="I26" s="62">
        <f aca="true" t="shared" si="13" ref="I26:I28">I27</f>
        <v>0</v>
      </c>
      <c r="J26" s="63">
        <f t="shared" si="0"/>
        <v>-20</v>
      </c>
    </row>
    <row r="27" spans="1:10" ht="15" customHeight="1" hidden="1">
      <c r="A27" s="29"/>
      <c r="B27" s="57" t="s">
        <v>16</v>
      </c>
      <c r="C27" s="45" t="s">
        <v>13</v>
      </c>
      <c r="D27" s="45" t="s">
        <v>31</v>
      </c>
      <c r="E27" s="46">
        <f t="shared" si="10"/>
        <v>20</v>
      </c>
      <c r="F27" s="51">
        <f t="shared" si="11"/>
        <v>20</v>
      </c>
      <c r="G27" s="34">
        <f t="shared" si="3"/>
        <v>0</v>
      </c>
      <c r="H27" s="51">
        <f t="shared" si="12"/>
        <v>20</v>
      </c>
      <c r="I27" s="48">
        <f t="shared" si="13"/>
        <v>0</v>
      </c>
      <c r="J27" s="63">
        <f t="shared" si="0"/>
        <v>-20</v>
      </c>
    </row>
    <row r="28" spans="1:10" ht="20.25" customHeight="1" hidden="1">
      <c r="A28" s="29"/>
      <c r="B28" s="57" t="s">
        <v>32</v>
      </c>
      <c r="C28" s="45" t="s">
        <v>13</v>
      </c>
      <c r="D28" s="45" t="s">
        <v>31</v>
      </c>
      <c r="E28" s="46">
        <f t="shared" si="10"/>
        <v>20</v>
      </c>
      <c r="F28" s="51">
        <f t="shared" si="11"/>
        <v>20</v>
      </c>
      <c r="G28" s="34">
        <f t="shared" si="3"/>
        <v>0</v>
      </c>
      <c r="H28" s="51">
        <f t="shared" si="12"/>
        <v>20</v>
      </c>
      <c r="I28" s="48">
        <f t="shared" si="13"/>
        <v>0</v>
      </c>
      <c r="J28" s="63">
        <f t="shared" si="0"/>
        <v>-20</v>
      </c>
    </row>
    <row r="29" spans="1:10" ht="46.5" customHeight="1" hidden="1">
      <c r="A29" s="29"/>
      <c r="B29" s="57" t="s">
        <v>33</v>
      </c>
      <c r="C29" s="45" t="s">
        <v>13</v>
      </c>
      <c r="D29" s="45" t="s">
        <v>31</v>
      </c>
      <c r="E29" s="64">
        <v>20</v>
      </c>
      <c r="F29" s="65">
        <v>20</v>
      </c>
      <c r="G29" s="34">
        <f t="shared" si="3"/>
        <v>0</v>
      </c>
      <c r="H29" s="65">
        <v>20</v>
      </c>
      <c r="I29" s="66">
        <f>20-20</f>
        <v>0</v>
      </c>
      <c r="J29" s="67">
        <f t="shared" si="0"/>
        <v>-20</v>
      </c>
    </row>
    <row r="30" spans="1:10" ht="16.5">
      <c r="A30" s="29"/>
      <c r="B30" s="57" t="s">
        <v>34</v>
      </c>
      <c r="C30" s="59" t="s">
        <v>13</v>
      </c>
      <c r="D30" s="59" t="s">
        <v>35</v>
      </c>
      <c r="E30" s="68">
        <f>E31+E44+E36</f>
        <v>15301.800000000001</v>
      </c>
      <c r="F30" s="69">
        <f>F31+F44+F36+F51</f>
        <v>18044.269</v>
      </c>
      <c r="G30" s="26">
        <f t="shared" si="3"/>
        <v>2742.468999999999</v>
      </c>
      <c r="H30" s="69">
        <f>H31+H44+H36+H51</f>
        <v>19359.269</v>
      </c>
      <c r="I30" s="70">
        <f>I31+I44+I36+I51</f>
        <v>16637.943919999998</v>
      </c>
      <c r="J30" s="28">
        <f t="shared" si="0"/>
        <v>-2721.3250800000023</v>
      </c>
    </row>
    <row r="31" spans="1:10" ht="46.5" customHeight="1" hidden="1">
      <c r="A31" s="29"/>
      <c r="B31" s="57" t="s">
        <v>36</v>
      </c>
      <c r="C31" s="45" t="s">
        <v>13</v>
      </c>
      <c r="D31" s="45" t="s">
        <v>35</v>
      </c>
      <c r="E31" s="46">
        <f>E32+E34</f>
        <v>220</v>
      </c>
      <c r="F31" s="51">
        <f>F32+F34</f>
        <v>220</v>
      </c>
      <c r="G31" s="34">
        <f t="shared" si="3"/>
        <v>0</v>
      </c>
      <c r="H31" s="51">
        <f>H32+H34</f>
        <v>220</v>
      </c>
      <c r="I31" s="48">
        <f>I32+I34</f>
        <v>310</v>
      </c>
      <c r="J31" s="63">
        <f t="shared" si="0"/>
        <v>90</v>
      </c>
    </row>
    <row r="32" spans="1:10" ht="45.75" customHeight="1" hidden="1">
      <c r="A32" s="29"/>
      <c r="B32" s="40" t="s">
        <v>28</v>
      </c>
      <c r="C32" s="45" t="s">
        <v>13</v>
      </c>
      <c r="D32" s="45" t="s">
        <v>35</v>
      </c>
      <c r="E32" s="50">
        <f>E33</f>
        <v>20</v>
      </c>
      <c r="F32" s="51">
        <f>F33</f>
        <v>20</v>
      </c>
      <c r="G32" s="34">
        <f t="shared" si="3"/>
        <v>0</v>
      </c>
      <c r="H32" s="51">
        <f>H33</f>
        <v>20</v>
      </c>
      <c r="I32" s="48">
        <f>I33</f>
        <v>4.9</v>
      </c>
      <c r="J32" s="63">
        <f t="shared" si="0"/>
        <v>-15.1</v>
      </c>
    </row>
    <row r="33" spans="1:10" ht="38.25" customHeight="1" hidden="1">
      <c r="A33" s="29"/>
      <c r="B33" s="40" t="s">
        <v>29</v>
      </c>
      <c r="C33" s="45" t="s">
        <v>13</v>
      </c>
      <c r="D33" s="45" t="s">
        <v>35</v>
      </c>
      <c r="E33" s="50">
        <v>20</v>
      </c>
      <c r="F33" s="51">
        <v>20</v>
      </c>
      <c r="G33" s="34">
        <f t="shared" si="3"/>
        <v>0</v>
      </c>
      <c r="H33" s="51">
        <v>20</v>
      </c>
      <c r="I33" s="48">
        <f>20-15.1</f>
        <v>4.9</v>
      </c>
      <c r="J33" s="63">
        <f t="shared" si="0"/>
        <v>-15.1</v>
      </c>
    </row>
    <row r="34" spans="1:10" ht="72" customHeight="1" hidden="1">
      <c r="A34" s="29"/>
      <c r="B34" s="71" t="s">
        <v>37</v>
      </c>
      <c r="C34" s="72" t="s">
        <v>13</v>
      </c>
      <c r="D34" s="72" t="s">
        <v>35</v>
      </c>
      <c r="E34" s="73">
        <f>E35</f>
        <v>200</v>
      </c>
      <c r="F34" s="74">
        <f>F35</f>
        <v>200</v>
      </c>
      <c r="G34" s="34">
        <f t="shared" si="3"/>
        <v>0</v>
      </c>
      <c r="H34" s="74">
        <f>H35</f>
        <v>200</v>
      </c>
      <c r="I34" s="75">
        <f>I35</f>
        <v>305.1</v>
      </c>
      <c r="J34" s="63">
        <f t="shared" si="0"/>
        <v>105.10000000000002</v>
      </c>
    </row>
    <row r="35" spans="1:10" ht="75" customHeight="1" hidden="1">
      <c r="A35" s="29"/>
      <c r="B35" s="41" t="s">
        <v>38</v>
      </c>
      <c r="C35" s="53" t="s">
        <v>13</v>
      </c>
      <c r="D35" s="53" t="s">
        <v>35</v>
      </c>
      <c r="E35" s="50">
        <v>200</v>
      </c>
      <c r="F35" s="51">
        <v>200</v>
      </c>
      <c r="G35" s="34">
        <f t="shared" si="3"/>
        <v>0</v>
      </c>
      <c r="H35" s="51">
        <v>200</v>
      </c>
      <c r="I35" s="48">
        <f>200+80+15.1+10</f>
        <v>305.1</v>
      </c>
      <c r="J35" s="63">
        <f t="shared" si="0"/>
        <v>105.10000000000002</v>
      </c>
    </row>
    <row r="36" spans="1:10" ht="72" customHeight="1" hidden="1">
      <c r="A36" s="29"/>
      <c r="B36" s="57" t="s">
        <v>39</v>
      </c>
      <c r="C36" s="45" t="s">
        <v>13</v>
      </c>
      <c r="D36" s="45" t="s">
        <v>35</v>
      </c>
      <c r="E36" s="46">
        <f>E37+E40+E43</f>
        <v>13591.7</v>
      </c>
      <c r="F36" s="51">
        <f>F37+F40+F43+F41</f>
        <v>16083.2</v>
      </c>
      <c r="G36" s="26">
        <f t="shared" si="3"/>
        <v>2491.5</v>
      </c>
      <c r="H36" s="51">
        <f>H37+H40+H43+H41</f>
        <v>16115.199999999999</v>
      </c>
      <c r="I36" s="48">
        <f>I37+I40+I43+I41</f>
        <v>14899.01434</v>
      </c>
      <c r="J36" s="28">
        <f t="shared" si="0"/>
        <v>-1216.1856599999992</v>
      </c>
    </row>
    <row r="37" spans="1:10" ht="38.25" customHeight="1" hidden="1">
      <c r="A37" s="29"/>
      <c r="B37" s="40" t="s">
        <v>40</v>
      </c>
      <c r="C37" s="45" t="s">
        <v>13</v>
      </c>
      <c r="D37" s="45" t="s">
        <v>35</v>
      </c>
      <c r="E37" s="46">
        <f>E38</f>
        <v>10422.4</v>
      </c>
      <c r="F37" s="51">
        <f>F38</f>
        <v>10422.4</v>
      </c>
      <c r="G37" s="34">
        <f t="shared" si="3"/>
        <v>0</v>
      </c>
      <c r="H37" s="51">
        <f>H38</f>
        <v>10422.4</v>
      </c>
      <c r="I37" s="48">
        <f>I38</f>
        <v>10305</v>
      </c>
      <c r="J37" s="28">
        <f t="shared" si="0"/>
        <v>-117.39999999999964</v>
      </c>
    </row>
    <row r="38" spans="1:10" ht="101.25" customHeight="1" hidden="1">
      <c r="A38" s="29"/>
      <c r="B38" s="40" t="s">
        <v>41</v>
      </c>
      <c r="C38" s="45" t="s">
        <v>13</v>
      </c>
      <c r="D38" s="45" t="s">
        <v>35</v>
      </c>
      <c r="E38" s="50">
        <f>10360.4+62</f>
        <v>10422.4</v>
      </c>
      <c r="F38" s="51">
        <f>10360.4+62</f>
        <v>10422.4</v>
      </c>
      <c r="G38" s="34">
        <f t="shared" si="3"/>
        <v>0</v>
      </c>
      <c r="H38" s="51">
        <f>10360.4+62</f>
        <v>10422.4</v>
      </c>
      <c r="I38" s="48">
        <v>10305</v>
      </c>
      <c r="J38" s="28">
        <f t="shared" si="0"/>
        <v>-117.39999999999964</v>
      </c>
    </row>
    <row r="39" spans="1:10" ht="48.75" customHeight="1" hidden="1">
      <c r="A39" s="29"/>
      <c r="B39" s="40" t="s">
        <v>42</v>
      </c>
      <c r="C39" s="45" t="s">
        <v>13</v>
      </c>
      <c r="D39" s="45" t="s">
        <v>35</v>
      </c>
      <c r="E39" s="46">
        <f>E40+E41</f>
        <v>2899.3</v>
      </c>
      <c r="F39" s="76">
        <f>F40+F41</f>
        <v>5390.8</v>
      </c>
      <c r="G39" s="26">
        <f t="shared" si="3"/>
        <v>2491.5</v>
      </c>
      <c r="H39" s="76">
        <f>H40+H41</f>
        <v>5487.950000000001</v>
      </c>
      <c r="I39" s="48">
        <f>I40+I41</f>
        <v>4390.400000000001</v>
      </c>
      <c r="J39" s="28">
        <f t="shared" si="0"/>
        <v>-1097.5500000000002</v>
      </c>
    </row>
    <row r="40" spans="1:10" ht="48" customHeight="1" hidden="1">
      <c r="A40" s="29"/>
      <c r="B40" s="77" t="s">
        <v>43</v>
      </c>
      <c r="C40" s="45" t="s">
        <v>13</v>
      </c>
      <c r="D40" s="45" t="s">
        <v>35</v>
      </c>
      <c r="E40" s="50">
        <f>2886.3+75-62</f>
        <v>2899.3</v>
      </c>
      <c r="F40" s="78">
        <f>2886.3+75-62-0.1128+2491.5</f>
        <v>5390.6872</v>
      </c>
      <c r="G40" s="79">
        <f t="shared" si="3"/>
        <v>2491.3872</v>
      </c>
      <c r="H40" s="78">
        <f>2886.3+75-62-0.1128+2491.5-0.5-2.85-0.02475+100</f>
        <v>5487.31245</v>
      </c>
      <c r="I40" s="66">
        <v>4389.8</v>
      </c>
      <c r="J40" s="28">
        <f t="shared" si="0"/>
        <v>-1097.5124500000002</v>
      </c>
    </row>
    <row r="41" spans="1:10" ht="40.5" hidden="1">
      <c r="A41" s="29"/>
      <c r="B41" s="77" t="s">
        <v>44</v>
      </c>
      <c r="C41" s="45" t="s">
        <v>13</v>
      </c>
      <c r="D41" s="45" t="s">
        <v>35</v>
      </c>
      <c r="E41" s="50">
        <v>0</v>
      </c>
      <c r="F41" s="78">
        <f>0.1128</f>
        <v>0.1128</v>
      </c>
      <c r="G41" s="79">
        <f t="shared" si="3"/>
        <v>0.1128</v>
      </c>
      <c r="H41" s="78">
        <f>0.1128+0.5+0.02475</f>
        <v>0.6375500000000001</v>
      </c>
      <c r="I41" s="66">
        <v>0.6000000000000001</v>
      </c>
      <c r="J41" s="28">
        <f t="shared" si="0"/>
        <v>-0.03754999999999997</v>
      </c>
    </row>
    <row r="42" spans="1:10" ht="32.25" customHeight="1" hidden="1">
      <c r="A42" s="29"/>
      <c r="B42" s="77" t="s">
        <v>45</v>
      </c>
      <c r="C42" s="45" t="s">
        <v>13</v>
      </c>
      <c r="D42" s="45" t="s">
        <v>35</v>
      </c>
      <c r="E42" s="46">
        <f>E43</f>
        <v>270</v>
      </c>
      <c r="F42" s="65">
        <f>F43</f>
        <v>270</v>
      </c>
      <c r="G42" s="80">
        <f t="shared" si="3"/>
        <v>0</v>
      </c>
      <c r="H42" s="65">
        <f>H43</f>
        <v>204.85000000000002</v>
      </c>
      <c r="I42" s="66">
        <f>I43</f>
        <v>203.61434000000003</v>
      </c>
      <c r="J42" s="28">
        <f t="shared" si="0"/>
        <v>-1.2356599999999958</v>
      </c>
    </row>
    <row r="43" spans="1:10" ht="36.75" customHeight="1" hidden="1">
      <c r="A43" s="29"/>
      <c r="B43" s="77" t="s">
        <v>46</v>
      </c>
      <c r="C43" s="45" t="s">
        <v>13</v>
      </c>
      <c r="D43" s="45" t="s">
        <v>35</v>
      </c>
      <c r="E43" s="50">
        <f>338-68</f>
        <v>270</v>
      </c>
      <c r="F43" s="65">
        <f>338-68</f>
        <v>270</v>
      </c>
      <c r="G43" s="80">
        <f t="shared" si="3"/>
        <v>0</v>
      </c>
      <c r="H43" s="65">
        <f>338-68+2.85-68</f>
        <v>204.85000000000002</v>
      </c>
      <c r="I43" s="66">
        <f>338-68+2.85-68-1.23566</f>
        <v>203.61434000000003</v>
      </c>
      <c r="J43" s="81">
        <f t="shared" si="0"/>
        <v>-1.2356599999999958</v>
      </c>
    </row>
    <row r="44" spans="1:10" ht="61.5" customHeight="1" hidden="1">
      <c r="A44" s="29"/>
      <c r="B44" s="57" t="s">
        <v>47</v>
      </c>
      <c r="C44" s="45" t="s">
        <v>13</v>
      </c>
      <c r="D44" s="45" t="s">
        <v>35</v>
      </c>
      <c r="E44" s="50">
        <f>E45+E49</f>
        <v>1490.1</v>
      </c>
      <c r="F44" s="78">
        <f>F45+F49</f>
        <v>1714.694</v>
      </c>
      <c r="G44" s="79">
        <f t="shared" si="3"/>
        <v>224.59400000000005</v>
      </c>
      <c r="H44" s="78">
        <f>H45+H49</f>
        <v>2997.6939999999995</v>
      </c>
      <c r="I44" s="66">
        <f>I45+I49</f>
        <v>1402.55458</v>
      </c>
      <c r="J44" s="28">
        <f t="shared" si="0"/>
        <v>-1595.1394199999995</v>
      </c>
    </row>
    <row r="45" spans="1:10" ht="27.75" hidden="1">
      <c r="A45" s="29"/>
      <c r="B45" s="77" t="s">
        <v>48</v>
      </c>
      <c r="C45" s="45" t="s">
        <v>13</v>
      </c>
      <c r="D45" s="45" t="s">
        <v>35</v>
      </c>
      <c r="E45" s="50">
        <f>E46</f>
        <v>1306.6</v>
      </c>
      <c r="F45" s="78">
        <f>F46+F48</f>
        <v>1531.194</v>
      </c>
      <c r="G45" s="79">
        <f t="shared" si="3"/>
        <v>224.59400000000005</v>
      </c>
      <c r="H45" s="78">
        <f>H46+H48+H47</f>
        <v>2918.1829999999995</v>
      </c>
      <c r="I45" s="66">
        <f>I46+I48+I47</f>
        <v>1323.04358</v>
      </c>
      <c r="J45" s="28">
        <f t="shared" si="0"/>
        <v>-1595.1394199999995</v>
      </c>
    </row>
    <row r="46" spans="1:11" ht="43.5" customHeight="1" hidden="1">
      <c r="A46" s="29"/>
      <c r="B46" s="77" t="s">
        <v>29</v>
      </c>
      <c r="C46" s="45" t="s">
        <v>13</v>
      </c>
      <c r="D46" s="45" t="s">
        <v>35</v>
      </c>
      <c r="E46" s="50">
        <v>1306.6</v>
      </c>
      <c r="F46" s="78">
        <f>1306.6-0.11352+222.594</f>
        <v>1529.0804799999999</v>
      </c>
      <c r="G46" s="79">
        <f t="shared" si="3"/>
        <v>222.48047999999994</v>
      </c>
      <c r="H46" s="78">
        <f>1306.6-0.11352+222.594+1200</f>
        <v>2729.0804799999996</v>
      </c>
      <c r="I46" s="66">
        <v>1277.5</v>
      </c>
      <c r="J46" s="81">
        <f t="shared" si="0"/>
        <v>-1451.5804799999996</v>
      </c>
      <c r="K46" s="82"/>
    </row>
    <row r="47" spans="1:10" ht="27.75" hidden="1">
      <c r="A47" s="29"/>
      <c r="B47" s="77" t="s">
        <v>49</v>
      </c>
      <c r="C47" s="45" t="s">
        <v>13</v>
      </c>
      <c r="D47" s="45" t="s">
        <v>35</v>
      </c>
      <c r="E47" s="50"/>
      <c r="F47" s="78"/>
      <c r="G47" s="79"/>
      <c r="H47" s="78">
        <v>15</v>
      </c>
      <c r="I47" s="66">
        <v>15</v>
      </c>
      <c r="J47" s="28">
        <f t="shared" si="0"/>
        <v>0</v>
      </c>
    </row>
    <row r="48" spans="1:10" ht="27.75" hidden="1">
      <c r="A48" s="29"/>
      <c r="B48" s="77" t="s">
        <v>50</v>
      </c>
      <c r="C48" s="45" t="s">
        <v>13</v>
      </c>
      <c r="D48" s="45" t="s">
        <v>35</v>
      </c>
      <c r="E48" s="50">
        <v>0</v>
      </c>
      <c r="F48" s="78">
        <f>0.11352+2</f>
        <v>2.11352</v>
      </c>
      <c r="G48" s="79">
        <f>F48-E48</f>
        <v>2.11352</v>
      </c>
      <c r="H48" s="78">
        <f>2.11352+68-8.51208+112.07301+0.42807</f>
        <v>174.10251999999997</v>
      </c>
      <c r="I48" s="66">
        <f>2.11352+68-8.51208+112.07301+0.42807-143.55894</f>
        <v>30.543579999999963</v>
      </c>
      <c r="J48" s="81">
        <f t="shared" si="0"/>
        <v>-143.55894</v>
      </c>
    </row>
    <row r="49" spans="1:10" ht="30.75" customHeight="1" hidden="1">
      <c r="A49" s="29"/>
      <c r="B49" s="77" t="s">
        <v>45</v>
      </c>
      <c r="C49" s="45" t="s">
        <v>13</v>
      </c>
      <c r="D49" s="45" t="s">
        <v>35</v>
      </c>
      <c r="E49" s="50">
        <f>E50</f>
        <v>183.5</v>
      </c>
      <c r="F49" s="65">
        <f>F50</f>
        <v>183.5</v>
      </c>
      <c r="G49" s="79">
        <f aca="true" t="shared" si="14" ref="G49:G52">F49-E49+2</f>
        <v>2</v>
      </c>
      <c r="H49" s="83">
        <f>H50</f>
        <v>79.511</v>
      </c>
      <c r="I49" s="66">
        <f>I50</f>
        <v>79.511</v>
      </c>
      <c r="J49" s="28">
        <f t="shared" si="0"/>
        <v>0</v>
      </c>
    </row>
    <row r="50" spans="1:10" ht="46.5" customHeight="1" hidden="1">
      <c r="A50" s="29"/>
      <c r="B50" s="84" t="s">
        <v>51</v>
      </c>
      <c r="C50" s="45" t="s">
        <v>13</v>
      </c>
      <c r="D50" s="45" t="s">
        <v>35</v>
      </c>
      <c r="E50" s="50">
        <f>183.5</f>
        <v>183.5</v>
      </c>
      <c r="F50" s="65">
        <f>183.5</f>
        <v>183.5</v>
      </c>
      <c r="G50" s="79">
        <f t="shared" si="14"/>
        <v>2</v>
      </c>
      <c r="H50" s="83">
        <f>183.5+8.51208-112.07301-0.42807</f>
        <v>79.511</v>
      </c>
      <c r="I50" s="66">
        <f>183.5+8.51208-112.07301-0.42807</f>
        <v>79.511</v>
      </c>
      <c r="J50" s="28">
        <f t="shared" si="0"/>
        <v>0</v>
      </c>
    </row>
    <row r="51" spans="1:10" ht="21.75" customHeight="1" hidden="1">
      <c r="A51" s="29"/>
      <c r="B51" s="85" t="s">
        <v>16</v>
      </c>
      <c r="C51" s="86" t="s">
        <v>13</v>
      </c>
      <c r="D51" s="86" t="s">
        <v>35</v>
      </c>
      <c r="E51" s="87"/>
      <c r="F51" s="88">
        <f aca="true" t="shared" si="15" ref="F51:F52">F52</f>
        <v>26.375</v>
      </c>
      <c r="G51" s="79">
        <f t="shared" si="14"/>
        <v>28.375</v>
      </c>
      <c r="H51" s="88">
        <f aca="true" t="shared" si="16" ref="H51:H52">H52</f>
        <v>26.375</v>
      </c>
      <c r="I51" s="89">
        <f aca="true" t="shared" si="17" ref="I51:I52">I52</f>
        <v>26.375</v>
      </c>
      <c r="J51" s="28">
        <f t="shared" si="0"/>
        <v>0</v>
      </c>
    </row>
    <row r="52" spans="1:10" ht="24.75" customHeight="1" hidden="1">
      <c r="A52" s="29"/>
      <c r="B52" s="85" t="s">
        <v>32</v>
      </c>
      <c r="C52" s="86" t="s">
        <v>13</v>
      </c>
      <c r="D52" s="86" t="s">
        <v>35</v>
      </c>
      <c r="E52" s="87"/>
      <c r="F52" s="88">
        <f t="shared" si="15"/>
        <v>26.375</v>
      </c>
      <c r="G52" s="90">
        <f t="shared" si="14"/>
        <v>28.375</v>
      </c>
      <c r="H52" s="88">
        <f t="shared" si="16"/>
        <v>26.375</v>
      </c>
      <c r="I52" s="89">
        <f t="shared" si="17"/>
        <v>26.375</v>
      </c>
      <c r="J52" s="28">
        <f t="shared" si="0"/>
        <v>0</v>
      </c>
    </row>
    <row r="53" spans="1:10" ht="31.5" customHeight="1" hidden="1">
      <c r="A53" s="29"/>
      <c r="B53" s="40" t="s">
        <v>52</v>
      </c>
      <c r="C53" s="53" t="s">
        <v>13</v>
      </c>
      <c r="D53" s="53" t="s">
        <v>35</v>
      </c>
      <c r="E53" s="87"/>
      <c r="F53" s="91">
        <f>26.375</f>
        <v>26.375</v>
      </c>
      <c r="G53" s="81">
        <f>F53-E53</f>
        <v>26.375</v>
      </c>
      <c r="H53" s="91">
        <f>26.375</f>
        <v>26.375</v>
      </c>
      <c r="I53" s="48">
        <f>26.375</f>
        <v>26.375</v>
      </c>
      <c r="J53" s="28">
        <f t="shared" si="0"/>
        <v>0</v>
      </c>
    </row>
    <row r="54" spans="1:10" ht="15" customHeight="1">
      <c r="A54" s="29"/>
      <c r="B54" s="30" t="s">
        <v>53</v>
      </c>
      <c r="C54" s="59" t="s">
        <v>54</v>
      </c>
      <c r="D54" s="59"/>
      <c r="E54" s="60">
        <f aca="true" t="shared" si="18" ref="E54:E55">E55</f>
        <v>607.5999999999999</v>
      </c>
      <c r="F54" s="61">
        <f aca="true" t="shared" si="19" ref="F54:F55">F55</f>
        <v>607.5999999999999</v>
      </c>
      <c r="G54" s="79">
        <f aca="true" t="shared" si="20" ref="G54:G71">F54-E54+2</f>
        <v>2</v>
      </c>
      <c r="H54" s="61">
        <f aca="true" t="shared" si="21" ref="H54:H55">H55</f>
        <v>607.5999999999999</v>
      </c>
      <c r="I54" s="62">
        <f aca="true" t="shared" si="22" ref="I54:I55">I55</f>
        <v>607.5999999999999</v>
      </c>
      <c r="J54" s="28">
        <f t="shared" si="0"/>
        <v>0</v>
      </c>
    </row>
    <row r="55" spans="1:10" ht="17.25" customHeight="1">
      <c r="A55" s="29"/>
      <c r="B55" s="57" t="s">
        <v>55</v>
      </c>
      <c r="C55" s="59" t="s">
        <v>54</v>
      </c>
      <c r="D55" s="59" t="s">
        <v>15</v>
      </c>
      <c r="E55" s="60">
        <f t="shared" si="18"/>
        <v>607.5999999999999</v>
      </c>
      <c r="F55" s="61">
        <f t="shared" si="19"/>
        <v>607.5999999999999</v>
      </c>
      <c r="G55" s="79">
        <f t="shared" si="20"/>
        <v>2</v>
      </c>
      <c r="H55" s="61">
        <f t="shared" si="21"/>
        <v>607.5999999999999</v>
      </c>
      <c r="I55" s="62">
        <f t="shared" si="22"/>
        <v>607.5999999999999</v>
      </c>
      <c r="J55" s="28">
        <f t="shared" si="0"/>
        <v>0</v>
      </c>
    </row>
    <row r="56" spans="1:10" ht="15" customHeight="1" hidden="1">
      <c r="A56" s="29"/>
      <c r="B56" s="57" t="s">
        <v>16</v>
      </c>
      <c r="C56" s="45" t="s">
        <v>54</v>
      </c>
      <c r="D56" s="45" t="s">
        <v>15</v>
      </c>
      <c r="E56" s="46">
        <f>E58+E59</f>
        <v>607.5999999999999</v>
      </c>
      <c r="F56" s="51">
        <f>F58+F59</f>
        <v>607.5999999999999</v>
      </c>
      <c r="G56" s="79">
        <f t="shared" si="20"/>
        <v>2</v>
      </c>
      <c r="H56" s="51">
        <f>H58+H59</f>
        <v>607.5999999999999</v>
      </c>
      <c r="I56" s="48">
        <f>I58+I59</f>
        <v>607.5999999999999</v>
      </c>
      <c r="J56" s="28">
        <f t="shared" si="0"/>
        <v>0</v>
      </c>
    </row>
    <row r="57" spans="1:10" ht="15" customHeight="1" hidden="1">
      <c r="A57" s="29"/>
      <c r="B57" s="57" t="s">
        <v>17</v>
      </c>
      <c r="C57" s="45" t="s">
        <v>54</v>
      </c>
      <c r="D57" s="45" t="s">
        <v>15</v>
      </c>
      <c r="E57" s="46">
        <f>E58+E59</f>
        <v>607.5999999999999</v>
      </c>
      <c r="F57" s="51">
        <f>F58+F59</f>
        <v>607.5999999999999</v>
      </c>
      <c r="G57" s="79">
        <f t="shared" si="20"/>
        <v>2</v>
      </c>
      <c r="H57" s="51">
        <f>H58+H59</f>
        <v>607.5999999999999</v>
      </c>
      <c r="I57" s="48">
        <f>I58+I59</f>
        <v>607.5999999999999</v>
      </c>
      <c r="J57" s="28">
        <f t="shared" si="0"/>
        <v>0</v>
      </c>
    </row>
    <row r="58" spans="1:10" ht="99.75" customHeight="1" hidden="1">
      <c r="A58" s="29"/>
      <c r="B58" s="35" t="s">
        <v>56</v>
      </c>
      <c r="C58" s="45" t="s">
        <v>54</v>
      </c>
      <c r="D58" s="45" t="s">
        <v>15</v>
      </c>
      <c r="E58" s="50">
        <v>553.31</v>
      </c>
      <c r="F58" s="51">
        <v>553.31</v>
      </c>
      <c r="G58" s="79">
        <f t="shared" si="20"/>
        <v>2</v>
      </c>
      <c r="H58" s="51">
        <v>553.31</v>
      </c>
      <c r="I58" s="48">
        <v>553.31</v>
      </c>
      <c r="J58" s="28">
        <f t="shared" si="0"/>
        <v>0</v>
      </c>
    </row>
    <row r="59" spans="1:10" ht="61.5" customHeight="1" hidden="1">
      <c r="A59" s="29"/>
      <c r="B59" s="35" t="s">
        <v>57</v>
      </c>
      <c r="C59" s="45" t="s">
        <v>54</v>
      </c>
      <c r="D59" s="45" t="s">
        <v>15</v>
      </c>
      <c r="E59" s="50">
        <v>54.29</v>
      </c>
      <c r="F59" s="51">
        <v>54.29</v>
      </c>
      <c r="G59" s="79">
        <f t="shared" si="20"/>
        <v>2</v>
      </c>
      <c r="H59" s="51">
        <v>54.29</v>
      </c>
      <c r="I59" s="48">
        <v>54.29</v>
      </c>
      <c r="J59" s="28">
        <f t="shared" si="0"/>
        <v>0</v>
      </c>
    </row>
    <row r="60" spans="1:10" ht="30.75" customHeight="1">
      <c r="A60" s="29"/>
      <c r="B60" s="30" t="s">
        <v>58</v>
      </c>
      <c r="C60" s="59" t="s">
        <v>15</v>
      </c>
      <c r="D60" s="59"/>
      <c r="E60" s="60">
        <f>E61+E68</f>
        <v>764.03</v>
      </c>
      <c r="F60" s="61">
        <f>F61+F68</f>
        <v>764.03</v>
      </c>
      <c r="G60" s="79">
        <f t="shared" si="20"/>
        <v>2</v>
      </c>
      <c r="H60" s="92">
        <f>H61+H68</f>
        <v>863.1089999999999</v>
      </c>
      <c r="I60" s="62">
        <f>I61+I68</f>
        <v>775.3299999999999</v>
      </c>
      <c r="J60" s="93">
        <f t="shared" si="0"/>
        <v>-87.779</v>
      </c>
    </row>
    <row r="61" spans="1:10" ht="46.5" customHeight="1">
      <c r="A61" s="29"/>
      <c r="B61" s="57" t="s">
        <v>59</v>
      </c>
      <c r="C61" s="59" t="s">
        <v>15</v>
      </c>
      <c r="D61" s="59" t="s">
        <v>60</v>
      </c>
      <c r="E61" s="60">
        <f>E62+E65</f>
        <v>762.03</v>
      </c>
      <c r="F61" s="61">
        <f>F62+F65</f>
        <v>762.03</v>
      </c>
      <c r="G61" s="79">
        <f t="shared" si="20"/>
        <v>2</v>
      </c>
      <c r="H61" s="92">
        <f>H62+H65</f>
        <v>861.1089999999999</v>
      </c>
      <c r="I61" s="62">
        <f>I62+I65</f>
        <v>773.3299999999999</v>
      </c>
      <c r="J61" s="93">
        <f t="shared" si="0"/>
        <v>-87.779</v>
      </c>
    </row>
    <row r="62" spans="1:10" ht="48.75" customHeight="1" hidden="1">
      <c r="A62" s="29"/>
      <c r="B62" s="57" t="s">
        <v>61</v>
      </c>
      <c r="C62" s="45" t="s">
        <v>15</v>
      </c>
      <c r="D62" s="45" t="s">
        <v>60</v>
      </c>
      <c r="E62" s="46">
        <f>E64</f>
        <v>10</v>
      </c>
      <c r="F62" s="51">
        <f>F64</f>
        <v>10</v>
      </c>
      <c r="G62" s="79">
        <f t="shared" si="20"/>
        <v>2</v>
      </c>
      <c r="H62" s="47">
        <f>H64</f>
        <v>109.079</v>
      </c>
      <c r="I62" s="48">
        <f>I64</f>
        <v>21.3</v>
      </c>
      <c r="J62" s="93">
        <f t="shared" si="0"/>
        <v>-87.779</v>
      </c>
    </row>
    <row r="63" spans="1:10" ht="36.75" customHeight="1" hidden="1">
      <c r="A63" s="29"/>
      <c r="B63" s="57" t="s">
        <v>62</v>
      </c>
      <c r="C63" s="45" t="s">
        <v>15</v>
      </c>
      <c r="D63" s="45" t="s">
        <v>60</v>
      </c>
      <c r="E63" s="46">
        <f>E64</f>
        <v>10</v>
      </c>
      <c r="F63" s="51">
        <f>F64</f>
        <v>10</v>
      </c>
      <c r="G63" s="79">
        <f t="shared" si="20"/>
        <v>2</v>
      </c>
      <c r="H63" s="94">
        <f>H64</f>
        <v>109.079</v>
      </c>
      <c r="I63" s="48">
        <f>I64</f>
        <v>21.3</v>
      </c>
      <c r="J63" s="93">
        <f t="shared" si="0"/>
        <v>-87.779</v>
      </c>
    </row>
    <row r="64" spans="1:10" ht="36" customHeight="1" hidden="1">
      <c r="A64" s="29"/>
      <c r="B64" s="95" t="s">
        <v>63</v>
      </c>
      <c r="C64" s="45" t="s">
        <v>15</v>
      </c>
      <c r="D64" s="45" t="s">
        <v>60</v>
      </c>
      <c r="E64" s="46">
        <v>10</v>
      </c>
      <c r="F64" s="51">
        <v>10</v>
      </c>
      <c r="G64" s="79">
        <f t="shared" si="20"/>
        <v>2</v>
      </c>
      <c r="H64" s="94">
        <f>10+99.079</f>
        <v>109.079</v>
      </c>
      <c r="I64" s="48">
        <v>21.3</v>
      </c>
      <c r="J64" s="96">
        <f t="shared" si="0"/>
        <v>-87.779</v>
      </c>
    </row>
    <row r="65" spans="1:10" ht="15" customHeight="1" hidden="1">
      <c r="A65" s="29"/>
      <c r="B65" s="57" t="s">
        <v>64</v>
      </c>
      <c r="C65" s="45" t="s">
        <v>15</v>
      </c>
      <c r="D65" s="45" t="s">
        <v>60</v>
      </c>
      <c r="E65" s="46">
        <f aca="true" t="shared" si="23" ref="E65:E66">E66</f>
        <v>752.03</v>
      </c>
      <c r="F65" s="51">
        <f aca="true" t="shared" si="24" ref="F65:F66">F66</f>
        <v>752.03</v>
      </c>
      <c r="G65" s="79">
        <f t="shared" si="20"/>
        <v>2</v>
      </c>
      <c r="H65" s="51">
        <f aca="true" t="shared" si="25" ref="H65:H66">H66</f>
        <v>752.03</v>
      </c>
      <c r="I65" s="48">
        <f aca="true" t="shared" si="26" ref="I65:I66">I66</f>
        <v>752.03</v>
      </c>
      <c r="J65" s="28">
        <f t="shared" si="0"/>
        <v>0</v>
      </c>
    </row>
    <row r="66" spans="1:10" ht="15" customHeight="1" hidden="1">
      <c r="A66" s="29"/>
      <c r="B66" s="57" t="s">
        <v>17</v>
      </c>
      <c r="C66" s="45" t="s">
        <v>15</v>
      </c>
      <c r="D66" s="45" t="s">
        <v>60</v>
      </c>
      <c r="E66" s="46">
        <f t="shared" si="23"/>
        <v>752.03</v>
      </c>
      <c r="F66" s="51">
        <f t="shared" si="24"/>
        <v>752.03</v>
      </c>
      <c r="G66" s="79">
        <f t="shared" si="20"/>
        <v>2</v>
      </c>
      <c r="H66" s="51">
        <f t="shared" si="25"/>
        <v>752.03</v>
      </c>
      <c r="I66" s="48">
        <f t="shared" si="26"/>
        <v>752.03</v>
      </c>
      <c r="J66" s="28">
        <f t="shared" si="0"/>
        <v>0</v>
      </c>
    </row>
    <row r="67" spans="1:10" ht="49.5" customHeight="1" hidden="1">
      <c r="A67" s="29"/>
      <c r="B67" s="95" t="s">
        <v>65</v>
      </c>
      <c r="C67" s="45" t="s">
        <v>15</v>
      </c>
      <c r="D67" s="45" t="s">
        <v>60</v>
      </c>
      <c r="E67" s="50">
        <v>752.03</v>
      </c>
      <c r="F67" s="51">
        <v>752.03</v>
      </c>
      <c r="G67" s="79">
        <f t="shared" si="20"/>
        <v>2</v>
      </c>
      <c r="H67" s="51">
        <v>752.03</v>
      </c>
      <c r="I67" s="48">
        <v>752.03</v>
      </c>
      <c r="J67" s="28">
        <f t="shared" si="0"/>
        <v>0</v>
      </c>
    </row>
    <row r="68" spans="1:10" ht="42.75" customHeight="1">
      <c r="A68" s="29"/>
      <c r="B68" s="95" t="s">
        <v>66</v>
      </c>
      <c r="C68" s="59" t="s">
        <v>15</v>
      </c>
      <c r="D68" s="59" t="s">
        <v>67</v>
      </c>
      <c r="E68" s="60">
        <f>E69</f>
        <v>2</v>
      </c>
      <c r="F68" s="61">
        <f>F69</f>
        <v>2</v>
      </c>
      <c r="G68" s="79">
        <f t="shared" si="20"/>
        <v>2</v>
      </c>
      <c r="H68" s="61">
        <f>H69</f>
        <v>2</v>
      </c>
      <c r="I68" s="62">
        <f>I69</f>
        <v>2</v>
      </c>
      <c r="J68" s="28">
        <f t="shared" si="0"/>
        <v>0</v>
      </c>
    </row>
    <row r="69" spans="1:10" ht="59.25" customHeight="1" hidden="1">
      <c r="A69" s="29"/>
      <c r="B69" s="97" t="s">
        <v>68</v>
      </c>
      <c r="C69" s="98" t="s">
        <v>15</v>
      </c>
      <c r="D69" s="98" t="s">
        <v>67</v>
      </c>
      <c r="E69" s="87">
        <f>E71</f>
        <v>2</v>
      </c>
      <c r="F69" s="99">
        <f>F71</f>
        <v>2</v>
      </c>
      <c r="G69" s="90">
        <f t="shared" si="20"/>
        <v>2</v>
      </c>
      <c r="H69" s="99">
        <f>H71</f>
        <v>2</v>
      </c>
      <c r="I69" s="89">
        <f>I71</f>
        <v>2</v>
      </c>
      <c r="J69" s="28">
        <f t="shared" si="0"/>
        <v>0</v>
      </c>
    </row>
    <row r="70" spans="1:10" ht="45.75" customHeight="1" hidden="1">
      <c r="A70" s="29"/>
      <c r="B70" s="97" t="s">
        <v>69</v>
      </c>
      <c r="C70" s="98" t="s">
        <v>15</v>
      </c>
      <c r="D70" s="98" t="s">
        <v>67</v>
      </c>
      <c r="E70" s="46">
        <f>E71</f>
        <v>2</v>
      </c>
      <c r="F70" s="51">
        <f>F71</f>
        <v>2</v>
      </c>
      <c r="G70" s="79">
        <f t="shared" si="20"/>
        <v>2</v>
      </c>
      <c r="H70" s="51">
        <f>H71</f>
        <v>2</v>
      </c>
      <c r="I70" s="48">
        <f>I71</f>
        <v>2</v>
      </c>
      <c r="J70" s="28">
        <f t="shared" si="0"/>
        <v>0</v>
      </c>
    </row>
    <row r="71" spans="1:10" ht="30.75" customHeight="1" hidden="1">
      <c r="A71" s="29"/>
      <c r="B71" s="97" t="s">
        <v>29</v>
      </c>
      <c r="C71" s="98" t="s">
        <v>15</v>
      </c>
      <c r="D71" s="98" t="s">
        <v>67</v>
      </c>
      <c r="E71" s="87">
        <v>2</v>
      </c>
      <c r="F71" s="99">
        <v>2</v>
      </c>
      <c r="G71" s="79">
        <f t="shared" si="20"/>
        <v>2</v>
      </c>
      <c r="H71" s="99">
        <v>2</v>
      </c>
      <c r="I71" s="89">
        <v>2</v>
      </c>
      <c r="J71" s="28">
        <f t="shared" si="0"/>
        <v>0</v>
      </c>
    </row>
    <row r="72" spans="1:10" ht="25.5" customHeight="1">
      <c r="A72" s="29"/>
      <c r="B72" s="100" t="s">
        <v>70</v>
      </c>
      <c r="C72" s="59" t="s">
        <v>21</v>
      </c>
      <c r="D72" s="59"/>
      <c r="E72" s="60">
        <f>E73+E77+E81+E97</f>
        <v>15467.2</v>
      </c>
      <c r="F72" s="69">
        <f>F73+F77+F81+F97</f>
        <v>36376.458320000005</v>
      </c>
      <c r="G72" s="26">
        <f aca="true" t="shared" si="27" ref="G72:G88">F72-E72</f>
        <v>20909.258320000004</v>
      </c>
      <c r="H72" s="69">
        <f>H73+H77+H81+H97</f>
        <v>40225.738320000004</v>
      </c>
      <c r="I72" s="62">
        <f>I73+I77+I81+I97</f>
        <v>36131.68002</v>
      </c>
      <c r="J72" s="28">
        <f t="shared" si="0"/>
        <v>-4094.0583000000042</v>
      </c>
    </row>
    <row r="73" spans="1:10" ht="15" customHeight="1" hidden="1">
      <c r="A73" s="29"/>
      <c r="B73" s="101" t="s">
        <v>71</v>
      </c>
      <c r="C73" s="59" t="s">
        <v>21</v>
      </c>
      <c r="D73" s="59" t="s">
        <v>13</v>
      </c>
      <c r="E73" s="68">
        <f aca="true" t="shared" si="28" ref="E73:E75">E74</f>
        <v>750</v>
      </c>
      <c r="F73" s="61">
        <f aca="true" t="shared" si="29" ref="F73:F75">F74</f>
        <v>750</v>
      </c>
      <c r="G73" s="102">
        <f t="shared" si="27"/>
        <v>0</v>
      </c>
      <c r="H73" s="61">
        <f aca="true" t="shared" si="30" ref="H73:H75">H74</f>
        <v>3017.78</v>
      </c>
      <c r="I73" s="62">
        <f aca="true" t="shared" si="31" ref="I73:I75">I74</f>
        <v>0</v>
      </c>
      <c r="J73" s="102">
        <f t="shared" si="0"/>
        <v>-3017.78</v>
      </c>
    </row>
    <row r="74" spans="1:10" ht="15" customHeight="1" hidden="1">
      <c r="A74" s="29"/>
      <c r="B74" s="95" t="s">
        <v>16</v>
      </c>
      <c r="C74" s="45" t="s">
        <v>21</v>
      </c>
      <c r="D74" s="45" t="s">
        <v>13</v>
      </c>
      <c r="E74" s="50">
        <f t="shared" si="28"/>
        <v>750</v>
      </c>
      <c r="F74" s="51">
        <f t="shared" si="29"/>
        <v>750</v>
      </c>
      <c r="G74" s="102">
        <f t="shared" si="27"/>
        <v>0</v>
      </c>
      <c r="H74" s="51">
        <f t="shared" si="30"/>
        <v>3017.78</v>
      </c>
      <c r="I74" s="48">
        <f t="shared" si="31"/>
        <v>0</v>
      </c>
      <c r="J74" s="102">
        <f t="shared" si="0"/>
        <v>-3017.78</v>
      </c>
    </row>
    <row r="75" spans="1:10" ht="15" customHeight="1" hidden="1">
      <c r="A75" s="29"/>
      <c r="B75" s="57" t="s">
        <v>17</v>
      </c>
      <c r="C75" s="45" t="s">
        <v>21</v>
      </c>
      <c r="D75" s="45" t="s">
        <v>13</v>
      </c>
      <c r="E75" s="50">
        <f t="shared" si="28"/>
        <v>750</v>
      </c>
      <c r="F75" s="51">
        <f t="shared" si="29"/>
        <v>750</v>
      </c>
      <c r="G75" s="102">
        <f t="shared" si="27"/>
        <v>0</v>
      </c>
      <c r="H75" s="51">
        <f t="shared" si="30"/>
        <v>3017.78</v>
      </c>
      <c r="I75" s="48">
        <f t="shared" si="31"/>
        <v>0</v>
      </c>
      <c r="J75" s="102">
        <f t="shared" si="0"/>
        <v>-3017.78</v>
      </c>
    </row>
    <row r="76" spans="1:10" ht="46.5" customHeight="1" hidden="1">
      <c r="A76" s="29"/>
      <c r="B76" s="97" t="s">
        <v>72</v>
      </c>
      <c r="C76" s="45" t="s">
        <v>21</v>
      </c>
      <c r="D76" s="45" t="s">
        <v>13</v>
      </c>
      <c r="E76" s="50">
        <f>1000-250</f>
        <v>750</v>
      </c>
      <c r="F76" s="51">
        <f>1000-250-750+750</f>
        <v>750</v>
      </c>
      <c r="G76" s="102">
        <f t="shared" si="27"/>
        <v>0</v>
      </c>
      <c r="H76" s="51">
        <f>1000-250-750+750-200-100+200+100+2267.78</f>
        <v>3017.78</v>
      </c>
      <c r="I76" s="48">
        <f>1000-250-750+750-200-100+200+100+2267.78-3017.78</f>
        <v>0</v>
      </c>
      <c r="J76" s="103">
        <f t="shared" si="0"/>
        <v>-3017.78</v>
      </c>
    </row>
    <row r="77" spans="1:10" ht="15" customHeight="1">
      <c r="A77" s="29"/>
      <c r="B77" s="95" t="s">
        <v>73</v>
      </c>
      <c r="C77" s="59" t="s">
        <v>21</v>
      </c>
      <c r="D77" s="59" t="s">
        <v>74</v>
      </c>
      <c r="E77" s="60">
        <f>E78</f>
        <v>150</v>
      </c>
      <c r="F77" s="61">
        <f>F78</f>
        <v>150</v>
      </c>
      <c r="G77" s="34">
        <f t="shared" si="27"/>
        <v>0</v>
      </c>
      <c r="H77" s="61">
        <f>H78</f>
        <v>150</v>
      </c>
      <c r="I77" s="62">
        <f>I78</f>
        <v>49</v>
      </c>
      <c r="J77" s="63">
        <f t="shared" si="0"/>
        <v>-101</v>
      </c>
    </row>
    <row r="78" spans="1:10" ht="62.25" customHeight="1" hidden="1">
      <c r="A78" s="29"/>
      <c r="B78" s="57" t="s">
        <v>75</v>
      </c>
      <c r="C78" s="45" t="s">
        <v>21</v>
      </c>
      <c r="D78" s="45" t="s">
        <v>74</v>
      </c>
      <c r="E78" s="46">
        <f>E80</f>
        <v>150</v>
      </c>
      <c r="F78" s="51">
        <f>F80</f>
        <v>150</v>
      </c>
      <c r="G78" s="34">
        <f t="shared" si="27"/>
        <v>0</v>
      </c>
      <c r="H78" s="51">
        <f>H80</f>
        <v>150</v>
      </c>
      <c r="I78" s="48">
        <f>I80</f>
        <v>49</v>
      </c>
      <c r="J78" s="63">
        <f t="shared" si="0"/>
        <v>-101</v>
      </c>
    </row>
    <row r="79" spans="1:10" ht="30.75" customHeight="1" hidden="1">
      <c r="A79" s="29"/>
      <c r="B79" s="57" t="s">
        <v>76</v>
      </c>
      <c r="C79" s="45" t="s">
        <v>21</v>
      </c>
      <c r="D79" s="45" t="s">
        <v>74</v>
      </c>
      <c r="E79" s="46">
        <f>E80</f>
        <v>150</v>
      </c>
      <c r="F79" s="51">
        <f>F80</f>
        <v>150</v>
      </c>
      <c r="G79" s="34">
        <f t="shared" si="27"/>
        <v>0</v>
      </c>
      <c r="H79" s="51">
        <f>H80</f>
        <v>150</v>
      </c>
      <c r="I79" s="48">
        <f>I80</f>
        <v>49</v>
      </c>
      <c r="J79" s="63">
        <f t="shared" si="0"/>
        <v>-101</v>
      </c>
    </row>
    <row r="80" spans="1:10" ht="46.5" customHeight="1" hidden="1">
      <c r="A80" s="29"/>
      <c r="B80" s="57" t="s">
        <v>77</v>
      </c>
      <c r="C80" s="45" t="s">
        <v>21</v>
      </c>
      <c r="D80" s="45" t="s">
        <v>74</v>
      </c>
      <c r="E80" s="46">
        <f>50+100</f>
        <v>150</v>
      </c>
      <c r="F80" s="51">
        <f>50+100</f>
        <v>150</v>
      </c>
      <c r="G80" s="34">
        <f t="shared" si="27"/>
        <v>0</v>
      </c>
      <c r="H80" s="51">
        <f>50+100</f>
        <v>150</v>
      </c>
      <c r="I80" s="48">
        <f>50+100-101</f>
        <v>49</v>
      </c>
      <c r="J80" s="67">
        <f t="shared" si="0"/>
        <v>-101</v>
      </c>
    </row>
    <row r="81" spans="1:10" ht="16.5">
      <c r="A81" s="29"/>
      <c r="B81" s="104" t="s">
        <v>78</v>
      </c>
      <c r="C81" s="59" t="s">
        <v>21</v>
      </c>
      <c r="D81" s="59" t="s">
        <v>60</v>
      </c>
      <c r="E81" s="68">
        <f>E82+E94</f>
        <v>12441.4</v>
      </c>
      <c r="F81" s="69">
        <f>F82+F94</f>
        <v>33350.65832</v>
      </c>
      <c r="G81" s="26">
        <f t="shared" si="27"/>
        <v>20909.25832</v>
      </c>
      <c r="H81" s="69">
        <f>H82+H94</f>
        <v>34932.15832</v>
      </c>
      <c r="I81" s="62">
        <f>I82+I94</f>
        <v>34438.38002</v>
      </c>
      <c r="J81" s="28">
        <f t="shared" si="0"/>
        <v>-493.7783000000054</v>
      </c>
    </row>
    <row r="82" spans="1:10" ht="47.25" customHeight="1" hidden="1">
      <c r="A82" s="29"/>
      <c r="B82" s="104" t="s">
        <v>79</v>
      </c>
      <c r="C82" s="45" t="s">
        <v>21</v>
      </c>
      <c r="D82" s="45" t="s">
        <v>60</v>
      </c>
      <c r="E82" s="50">
        <f>E83+E88+E92</f>
        <v>12441.4</v>
      </c>
      <c r="F82" s="105">
        <f>F83+F88+F92</f>
        <v>33350.65832</v>
      </c>
      <c r="G82" s="26">
        <f t="shared" si="27"/>
        <v>20909.25832</v>
      </c>
      <c r="H82" s="78">
        <f>H83+H88+H92</f>
        <v>34932.15832</v>
      </c>
      <c r="I82" s="66">
        <f>I83+I88+I92</f>
        <v>34438.38002</v>
      </c>
      <c r="J82" s="28">
        <f t="shared" si="0"/>
        <v>-493.7783000000054</v>
      </c>
    </row>
    <row r="83" spans="1:10" ht="47.25" customHeight="1" hidden="1">
      <c r="A83" s="29"/>
      <c r="B83" s="35" t="s">
        <v>80</v>
      </c>
      <c r="C83" s="45" t="s">
        <v>21</v>
      </c>
      <c r="D83" s="45" t="s">
        <v>60</v>
      </c>
      <c r="E83" s="50">
        <f>E84+E87+E85</f>
        <v>8641.4</v>
      </c>
      <c r="F83" s="76">
        <f>F84+F87+F85</f>
        <v>29072.132</v>
      </c>
      <c r="G83" s="106">
        <f t="shared" si="27"/>
        <v>20430.732000000004</v>
      </c>
      <c r="H83" s="107">
        <f>H84+H86+H87</f>
        <v>29072.132</v>
      </c>
      <c r="I83" s="66">
        <f>I84+I86+I87</f>
        <v>28562.340220000002</v>
      </c>
      <c r="J83" s="28">
        <f t="shared" si="0"/>
        <v>-509.79177999999956</v>
      </c>
    </row>
    <row r="84" spans="1:10" ht="62.25" customHeight="1" hidden="1">
      <c r="A84" s="29"/>
      <c r="B84" s="41" t="s">
        <v>81</v>
      </c>
      <c r="C84" s="53" t="s">
        <v>21</v>
      </c>
      <c r="D84" s="53" t="s">
        <v>60</v>
      </c>
      <c r="E84" s="50">
        <v>457.5</v>
      </c>
      <c r="F84" s="51">
        <v>457.5</v>
      </c>
      <c r="G84" s="34">
        <f t="shared" si="27"/>
        <v>0</v>
      </c>
      <c r="H84" s="65">
        <v>457.5</v>
      </c>
      <c r="I84" s="66">
        <f>457.5-153.679-187.7508-63.12998</f>
        <v>52.940220000000025</v>
      </c>
      <c r="J84" s="81">
        <f t="shared" si="0"/>
        <v>-404.55978</v>
      </c>
    </row>
    <row r="85" spans="1:10" ht="63" customHeight="1" hidden="1">
      <c r="A85" s="29"/>
      <c r="B85" s="41" t="s">
        <v>82</v>
      </c>
      <c r="C85" s="53" t="s">
        <v>21</v>
      </c>
      <c r="D85" s="53" t="s">
        <v>60</v>
      </c>
      <c r="E85" s="108">
        <v>7183.9</v>
      </c>
      <c r="F85" s="65">
        <f aca="true" t="shared" si="32" ref="F85:F86">7183.9+20000</f>
        <v>27183.9</v>
      </c>
      <c r="G85" s="34">
        <f t="shared" si="27"/>
        <v>20000</v>
      </c>
      <c r="H85" s="65">
        <f>7183.9+20000</f>
        <v>27183.9</v>
      </c>
      <c r="I85" s="66">
        <f>7183.9+20000</f>
        <v>27183.9</v>
      </c>
      <c r="J85" s="28">
        <f t="shared" si="0"/>
        <v>0</v>
      </c>
    </row>
    <row r="86" spans="1:10" ht="55.5" customHeight="1" hidden="1">
      <c r="A86" s="29"/>
      <c r="B86" s="41" t="s">
        <v>82</v>
      </c>
      <c r="C86" s="53" t="s">
        <v>21</v>
      </c>
      <c r="D86" s="53" t="s">
        <v>60</v>
      </c>
      <c r="E86" s="108">
        <v>7183.9</v>
      </c>
      <c r="F86" s="65">
        <f t="shared" si="32"/>
        <v>27183.9</v>
      </c>
      <c r="G86" s="34">
        <f t="shared" si="27"/>
        <v>20000</v>
      </c>
      <c r="H86" s="65">
        <f>7183.9+20000-27183.9</f>
        <v>0</v>
      </c>
      <c r="I86" s="66">
        <f>7183.9+20000-27183.9</f>
        <v>0</v>
      </c>
      <c r="J86" s="28">
        <f t="shared" si="0"/>
        <v>0</v>
      </c>
    </row>
    <row r="87" spans="1:10" ht="57.75" customHeight="1" hidden="1">
      <c r="A87" s="29"/>
      <c r="B87" s="41" t="s">
        <v>83</v>
      </c>
      <c r="C87" s="45" t="s">
        <v>21</v>
      </c>
      <c r="D87" s="45" t="s">
        <v>60</v>
      </c>
      <c r="E87" s="50">
        <v>1000</v>
      </c>
      <c r="F87" s="105">
        <f>1000+430.732</f>
        <v>1430.732</v>
      </c>
      <c r="G87" s="26">
        <f t="shared" si="27"/>
        <v>430.73199999999997</v>
      </c>
      <c r="H87" s="78">
        <f>1000+430.732+27183.9</f>
        <v>28614.632</v>
      </c>
      <c r="I87" s="66">
        <v>28509.4</v>
      </c>
      <c r="J87" s="28">
        <f t="shared" si="0"/>
        <v>-105.23199999999997</v>
      </c>
    </row>
    <row r="88" spans="1:10" ht="48" customHeight="1" hidden="1">
      <c r="A88" s="29"/>
      <c r="B88" s="35" t="s">
        <v>84</v>
      </c>
      <c r="C88" s="53" t="s">
        <v>21</v>
      </c>
      <c r="D88" s="53" t="s">
        <v>60</v>
      </c>
      <c r="E88" s="50">
        <f>E90</f>
        <v>3600</v>
      </c>
      <c r="F88" s="105">
        <f>F90+F91</f>
        <v>4078.52632</v>
      </c>
      <c r="G88" s="26">
        <f t="shared" si="27"/>
        <v>478.52631999999994</v>
      </c>
      <c r="H88" s="78">
        <f>H90+H91</f>
        <v>5560.02632</v>
      </c>
      <c r="I88" s="66">
        <f>I90+I91+I89</f>
        <v>5432.3508</v>
      </c>
      <c r="J88" s="28">
        <f t="shared" si="0"/>
        <v>-127.67551999999978</v>
      </c>
    </row>
    <row r="89" spans="1:10" ht="96" customHeight="1" hidden="1">
      <c r="A89" s="29"/>
      <c r="B89" s="35" t="s">
        <v>85</v>
      </c>
      <c r="C89" s="53" t="s">
        <v>21</v>
      </c>
      <c r="D89" s="53" t="s">
        <v>60</v>
      </c>
      <c r="E89" s="50"/>
      <c r="F89" s="105"/>
      <c r="G89" s="26"/>
      <c r="H89" s="78"/>
      <c r="I89" s="66">
        <f>187.7508</f>
        <v>187.7508</v>
      </c>
      <c r="J89" s="28">
        <f t="shared" si="0"/>
        <v>187.7508</v>
      </c>
    </row>
    <row r="90" spans="1:10" ht="60" customHeight="1" hidden="1">
      <c r="A90" s="29"/>
      <c r="B90" s="109" t="s">
        <v>86</v>
      </c>
      <c r="C90" s="53" t="s">
        <v>21</v>
      </c>
      <c r="D90" s="53" t="s">
        <v>60</v>
      </c>
      <c r="E90" s="50">
        <f>3300+300</f>
        <v>3600</v>
      </c>
      <c r="F90" s="105">
        <f>3300+300+450.52632-28+28</f>
        <v>4050.52632</v>
      </c>
      <c r="G90" s="26">
        <f aca="true" t="shared" si="33" ref="G90:G117">F90-E90</f>
        <v>450.52631999999994</v>
      </c>
      <c r="H90" s="78">
        <f>3300+300+450.52632-28+28+200+1000-1000+1000+281.5</f>
        <v>5532.02632</v>
      </c>
      <c r="I90" s="66">
        <v>5216.6</v>
      </c>
      <c r="J90" s="81">
        <f t="shared" si="0"/>
        <v>-315.4263199999996</v>
      </c>
    </row>
    <row r="91" spans="1:10" ht="60" customHeight="1" hidden="1">
      <c r="A91" s="29"/>
      <c r="B91" s="41" t="s">
        <v>87</v>
      </c>
      <c r="C91" s="53" t="s">
        <v>21</v>
      </c>
      <c r="D91" s="53" t="s">
        <v>60</v>
      </c>
      <c r="E91" s="50">
        <v>0</v>
      </c>
      <c r="F91" s="105">
        <f>0+28</f>
        <v>28</v>
      </c>
      <c r="G91" s="26">
        <f t="shared" si="33"/>
        <v>28</v>
      </c>
      <c r="H91" s="78">
        <f>0+28</f>
        <v>28</v>
      </c>
      <c r="I91" s="66">
        <f>0+28</f>
        <v>28</v>
      </c>
      <c r="J91" s="28">
        <f t="shared" si="0"/>
        <v>0</v>
      </c>
    </row>
    <row r="92" spans="1:10" ht="30.75" customHeight="1" hidden="1">
      <c r="A92" s="29"/>
      <c r="B92" s="104" t="s">
        <v>88</v>
      </c>
      <c r="C92" s="53" t="s">
        <v>21</v>
      </c>
      <c r="D92" s="53" t="s">
        <v>60</v>
      </c>
      <c r="E92" s="50">
        <f>E93</f>
        <v>200</v>
      </c>
      <c r="F92" s="51">
        <f>F93</f>
        <v>200</v>
      </c>
      <c r="G92" s="34">
        <f t="shared" si="33"/>
        <v>0</v>
      </c>
      <c r="H92" s="65">
        <f>H93</f>
        <v>300</v>
      </c>
      <c r="I92" s="66">
        <f>I93</f>
        <v>443.68899999999996</v>
      </c>
      <c r="J92" s="102">
        <f t="shared" si="0"/>
        <v>143.68899999999996</v>
      </c>
    </row>
    <row r="93" spans="1:10" ht="46.5" customHeight="1" hidden="1">
      <c r="A93" s="29"/>
      <c r="B93" s="35" t="s">
        <v>89</v>
      </c>
      <c r="C93" s="53" t="s">
        <v>21</v>
      </c>
      <c r="D93" s="53" t="s">
        <v>60</v>
      </c>
      <c r="E93" s="50">
        <v>200</v>
      </c>
      <c r="F93" s="51">
        <v>200</v>
      </c>
      <c r="G93" s="34">
        <f t="shared" si="33"/>
        <v>0</v>
      </c>
      <c r="H93" s="65">
        <f>200+100</f>
        <v>300</v>
      </c>
      <c r="I93" s="66">
        <f>200+100+153.679-9.99</f>
        <v>443.68899999999996</v>
      </c>
      <c r="J93" s="103">
        <f t="shared" si="0"/>
        <v>143.68899999999996</v>
      </c>
    </row>
    <row r="94" spans="1:10" ht="15" customHeight="1" hidden="1">
      <c r="A94" s="29"/>
      <c r="B94" s="57" t="s">
        <v>22</v>
      </c>
      <c r="C94" s="45" t="s">
        <v>21</v>
      </c>
      <c r="D94" s="45" t="s">
        <v>60</v>
      </c>
      <c r="E94" s="46">
        <f aca="true" t="shared" si="34" ref="E94:E95">E95</f>
        <v>0</v>
      </c>
      <c r="F94" s="51">
        <f aca="true" t="shared" si="35" ref="F94:F95">F95</f>
        <v>0</v>
      </c>
      <c r="G94" s="34">
        <f t="shared" si="33"/>
        <v>0</v>
      </c>
      <c r="H94" s="65">
        <f aca="true" t="shared" si="36" ref="H94:H95">H95</f>
        <v>0</v>
      </c>
      <c r="I94" s="66">
        <f aca="true" t="shared" si="37" ref="I94:I95">I95</f>
        <v>0</v>
      </c>
      <c r="J94" s="28">
        <f t="shared" si="0"/>
        <v>0</v>
      </c>
    </row>
    <row r="95" spans="1:10" ht="15" customHeight="1" hidden="1">
      <c r="A95" s="29"/>
      <c r="B95" s="57" t="s">
        <v>17</v>
      </c>
      <c r="C95" s="45" t="s">
        <v>21</v>
      </c>
      <c r="D95" s="45" t="s">
        <v>60</v>
      </c>
      <c r="E95" s="46">
        <f t="shared" si="34"/>
        <v>0</v>
      </c>
      <c r="F95" s="51">
        <f t="shared" si="35"/>
        <v>0</v>
      </c>
      <c r="G95" s="34">
        <f t="shared" si="33"/>
        <v>0</v>
      </c>
      <c r="H95" s="65">
        <f t="shared" si="36"/>
        <v>0</v>
      </c>
      <c r="I95" s="66">
        <f t="shared" si="37"/>
        <v>0</v>
      </c>
      <c r="J95" s="28">
        <f t="shared" si="0"/>
        <v>0</v>
      </c>
    </row>
    <row r="96" spans="1:10" ht="99.75" customHeight="1" hidden="1">
      <c r="A96" s="29"/>
      <c r="B96" s="95" t="s">
        <v>90</v>
      </c>
      <c r="C96" s="45" t="s">
        <v>21</v>
      </c>
      <c r="D96" s="45" t="s">
        <v>60</v>
      </c>
      <c r="E96" s="50">
        <v>0</v>
      </c>
      <c r="F96" s="51">
        <v>0</v>
      </c>
      <c r="G96" s="34">
        <f t="shared" si="33"/>
        <v>0</v>
      </c>
      <c r="H96" s="65">
        <v>0</v>
      </c>
      <c r="I96" s="66">
        <v>0</v>
      </c>
      <c r="J96" s="28">
        <f t="shared" si="0"/>
        <v>0</v>
      </c>
    </row>
    <row r="97" spans="1:10" ht="24.75" customHeight="1">
      <c r="A97" s="29"/>
      <c r="B97" s="57" t="s">
        <v>91</v>
      </c>
      <c r="C97" s="59" t="s">
        <v>21</v>
      </c>
      <c r="D97" s="59" t="s">
        <v>92</v>
      </c>
      <c r="E97" s="60">
        <f>E98+E104+E110+E101+E107+E113</f>
        <v>2125.8</v>
      </c>
      <c r="F97" s="61">
        <f>F98+F104+F110+F101+F107+F113</f>
        <v>2125.8</v>
      </c>
      <c r="G97" s="34">
        <f t="shared" si="33"/>
        <v>0</v>
      </c>
      <c r="H97" s="61">
        <f>H98+H104+H110+H101+H107+H113</f>
        <v>2125.8</v>
      </c>
      <c r="I97" s="62">
        <f>I98+I104+I110+I101+I107+I113</f>
        <v>1644.2999999999997</v>
      </c>
      <c r="J97" s="28">
        <f t="shared" si="0"/>
        <v>-481.50000000000045</v>
      </c>
    </row>
    <row r="98" spans="1:10" ht="64.5" customHeight="1" hidden="1">
      <c r="A98" s="29"/>
      <c r="B98" s="57" t="s">
        <v>93</v>
      </c>
      <c r="C98" s="45" t="s">
        <v>21</v>
      </c>
      <c r="D98" s="45" t="s">
        <v>94</v>
      </c>
      <c r="E98" s="46">
        <f>E100</f>
        <v>100</v>
      </c>
      <c r="F98" s="51">
        <f>F100</f>
        <v>100</v>
      </c>
      <c r="G98" s="34">
        <f t="shared" si="33"/>
        <v>0</v>
      </c>
      <c r="H98" s="51">
        <f>H100</f>
        <v>100</v>
      </c>
      <c r="I98" s="48">
        <f>I100</f>
        <v>125.6</v>
      </c>
      <c r="J98" s="63">
        <f t="shared" si="0"/>
        <v>25.599999999999994</v>
      </c>
    </row>
    <row r="99" spans="1:10" ht="30.75" customHeight="1" hidden="1">
      <c r="A99" s="29"/>
      <c r="B99" s="57" t="s">
        <v>95</v>
      </c>
      <c r="C99" s="45" t="s">
        <v>21</v>
      </c>
      <c r="D99" s="45" t="s">
        <v>92</v>
      </c>
      <c r="E99" s="46">
        <f>E100</f>
        <v>100</v>
      </c>
      <c r="F99" s="51">
        <f>F100</f>
        <v>100</v>
      </c>
      <c r="G99" s="34">
        <f t="shared" si="33"/>
        <v>0</v>
      </c>
      <c r="H99" s="51">
        <f>H100</f>
        <v>100</v>
      </c>
      <c r="I99" s="48">
        <f>I100</f>
        <v>125.6</v>
      </c>
      <c r="J99" s="63">
        <f t="shared" si="0"/>
        <v>25.599999999999994</v>
      </c>
    </row>
    <row r="100" spans="1:10" ht="36.75" customHeight="1" hidden="1">
      <c r="A100" s="29"/>
      <c r="B100" s="57" t="s">
        <v>96</v>
      </c>
      <c r="C100" s="45" t="s">
        <v>21</v>
      </c>
      <c r="D100" s="45" t="s">
        <v>92</v>
      </c>
      <c r="E100" s="50">
        <v>100</v>
      </c>
      <c r="F100" s="51">
        <v>100</v>
      </c>
      <c r="G100" s="34">
        <f t="shared" si="33"/>
        <v>0</v>
      </c>
      <c r="H100" s="51">
        <v>100</v>
      </c>
      <c r="I100" s="48">
        <v>125.6</v>
      </c>
      <c r="J100" s="67">
        <f t="shared" si="0"/>
        <v>25.599999999999994</v>
      </c>
    </row>
    <row r="101" spans="1:10" ht="73.5" customHeight="1" hidden="1">
      <c r="A101" s="29"/>
      <c r="B101" s="57" t="s">
        <v>97</v>
      </c>
      <c r="C101" s="45" t="s">
        <v>21</v>
      </c>
      <c r="D101" s="45" t="s">
        <v>92</v>
      </c>
      <c r="E101" s="46">
        <f>E103</f>
        <v>100</v>
      </c>
      <c r="F101" s="51">
        <f>F103</f>
        <v>100</v>
      </c>
      <c r="G101" s="34">
        <f t="shared" si="33"/>
        <v>0</v>
      </c>
      <c r="H101" s="51">
        <f>H103</f>
        <v>100</v>
      </c>
      <c r="I101" s="48">
        <f>I103</f>
        <v>58</v>
      </c>
      <c r="J101" s="63">
        <f t="shared" si="0"/>
        <v>-42</v>
      </c>
    </row>
    <row r="102" spans="1:10" ht="30.75" customHeight="1" hidden="1">
      <c r="A102" s="29"/>
      <c r="B102" s="57" t="s">
        <v>98</v>
      </c>
      <c r="C102" s="45" t="s">
        <v>21</v>
      </c>
      <c r="D102" s="45" t="s">
        <v>92</v>
      </c>
      <c r="E102" s="46">
        <f>E103</f>
        <v>100</v>
      </c>
      <c r="F102" s="51">
        <f>F103</f>
        <v>100</v>
      </c>
      <c r="G102" s="34">
        <f t="shared" si="33"/>
        <v>0</v>
      </c>
      <c r="H102" s="51">
        <f>H103</f>
        <v>100</v>
      </c>
      <c r="I102" s="48">
        <f>I103</f>
        <v>58</v>
      </c>
      <c r="J102" s="63">
        <f t="shared" si="0"/>
        <v>-42</v>
      </c>
    </row>
    <row r="103" spans="1:10" ht="40.5" customHeight="1" hidden="1">
      <c r="A103" s="29"/>
      <c r="B103" s="57" t="s">
        <v>96</v>
      </c>
      <c r="C103" s="45" t="s">
        <v>21</v>
      </c>
      <c r="D103" s="45" t="s">
        <v>92</v>
      </c>
      <c r="E103" s="50">
        <v>100</v>
      </c>
      <c r="F103" s="51">
        <v>100</v>
      </c>
      <c r="G103" s="34">
        <f t="shared" si="33"/>
        <v>0</v>
      </c>
      <c r="H103" s="51">
        <v>100</v>
      </c>
      <c r="I103" s="48">
        <f>100-33-9</f>
        <v>58</v>
      </c>
      <c r="J103" s="67">
        <f t="shared" si="0"/>
        <v>-42</v>
      </c>
    </row>
    <row r="104" spans="1:10" ht="102" customHeight="1" hidden="1">
      <c r="A104" s="29"/>
      <c r="B104" s="57" t="s">
        <v>99</v>
      </c>
      <c r="C104" s="45" t="s">
        <v>21</v>
      </c>
      <c r="D104" s="45" t="s">
        <v>92</v>
      </c>
      <c r="E104" s="46">
        <f>E106</f>
        <v>60</v>
      </c>
      <c r="F104" s="51">
        <f>F106</f>
        <v>60</v>
      </c>
      <c r="G104" s="34">
        <f t="shared" si="33"/>
        <v>0</v>
      </c>
      <c r="H104" s="51">
        <f>H106</f>
        <v>60</v>
      </c>
      <c r="I104" s="48">
        <f>I106</f>
        <v>54</v>
      </c>
      <c r="J104" s="63">
        <f t="shared" si="0"/>
        <v>-6</v>
      </c>
    </row>
    <row r="105" spans="1:10" ht="30.75" customHeight="1" hidden="1">
      <c r="A105" s="29"/>
      <c r="B105" s="57" t="s">
        <v>100</v>
      </c>
      <c r="C105" s="45" t="s">
        <v>21</v>
      </c>
      <c r="D105" s="45" t="s">
        <v>92</v>
      </c>
      <c r="E105" s="46">
        <f>E106</f>
        <v>60</v>
      </c>
      <c r="F105" s="51">
        <f>F106</f>
        <v>60</v>
      </c>
      <c r="G105" s="34">
        <f t="shared" si="33"/>
        <v>0</v>
      </c>
      <c r="H105" s="51">
        <f>H106</f>
        <v>60</v>
      </c>
      <c r="I105" s="48">
        <f>I106</f>
        <v>54</v>
      </c>
      <c r="J105" s="63">
        <f t="shared" si="0"/>
        <v>-6</v>
      </c>
    </row>
    <row r="106" spans="1:10" ht="36" customHeight="1" hidden="1">
      <c r="A106" s="29"/>
      <c r="B106" s="57" t="s">
        <v>29</v>
      </c>
      <c r="C106" s="45" t="s">
        <v>21</v>
      </c>
      <c r="D106" s="45" t="s">
        <v>92</v>
      </c>
      <c r="E106" s="50">
        <v>60</v>
      </c>
      <c r="F106" s="51">
        <v>60</v>
      </c>
      <c r="G106" s="34">
        <f t="shared" si="33"/>
        <v>0</v>
      </c>
      <c r="H106" s="51">
        <v>60</v>
      </c>
      <c r="I106" s="48">
        <f>60-6</f>
        <v>54</v>
      </c>
      <c r="J106" s="67">
        <f t="shared" si="0"/>
        <v>-6</v>
      </c>
    </row>
    <row r="107" spans="1:10" ht="51" customHeight="1" hidden="1">
      <c r="A107" s="29"/>
      <c r="B107" s="57" t="s">
        <v>101</v>
      </c>
      <c r="C107" s="45" t="s">
        <v>21</v>
      </c>
      <c r="D107" s="45" t="s">
        <v>92</v>
      </c>
      <c r="E107" s="50">
        <f aca="true" t="shared" si="38" ref="E107:E108">E108</f>
        <v>10</v>
      </c>
      <c r="F107" s="51">
        <f aca="true" t="shared" si="39" ref="F107:F108">F108</f>
        <v>10</v>
      </c>
      <c r="G107" s="34">
        <f t="shared" si="33"/>
        <v>0</v>
      </c>
      <c r="H107" s="51">
        <f aca="true" t="shared" si="40" ref="H107:H108">H108</f>
        <v>10</v>
      </c>
      <c r="I107" s="48">
        <f aca="true" t="shared" si="41" ref="I107:I108">I108</f>
        <v>7</v>
      </c>
      <c r="J107" s="63">
        <f t="shared" si="0"/>
        <v>-3</v>
      </c>
    </row>
    <row r="108" spans="1:10" ht="38.25" customHeight="1" hidden="1">
      <c r="A108" s="29"/>
      <c r="B108" s="57" t="s">
        <v>102</v>
      </c>
      <c r="C108" s="45" t="s">
        <v>21</v>
      </c>
      <c r="D108" s="45" t="s">
        <v>92</v>
      </c>
      <c r="E108" s="50">
        <f t="shared" si="38"/>
        <v>10</v>
      </c>
      <c r="F108" s="51">
        <f t="shared" si="39"/>
        <v>10</v>
      </c>
      <c r="G108" s="34">
        <f t="shared" si="33"/>
        <v>0</v>
      </c>
      <c r="H108" s="51">
        <f t="shared" si="40"/>
        <v>10</v>
      </c>
      <c r="I108" s="48">
        <f t="shared" si="41"/>
        <v>7</v>
      </c>
      <c r="J108" s="63">
        <f t="shared" si="0"/>
        <v>-3</v>
      </c>
    </row>
    <row r="109" spans="1:10" ht="38.25" customHeight="1" hidden="1">
      <c r="A109" s="29"/>
      <c r="B109" s="57" t="s">
        <v>29</v>
      </c>
      <c r="C109" s="45" t="s">
        <v>21</v>
      </c>
      <c r="D109" s="45" t="s">
        <v>92</v>
      </c>
      <c r="E109" s="50">
        <v>10</v>
      </c>
      <c r="F109" s="51">
        <v>10</v>
      </c>
      <c r="G109" s="34">
        <f t="shared" si="33"/>
        <v>0</v>
      </c>
      <c r="H109" s="51">
        <v>10</v>
      </c>
      <c r="I109" s="48">
        <f>10-3</f>
        <v>7</v>
      </c>
      <c r="J109" s="67">
        <f t="shared" si="0"/>
        <v>-3</v>
      </c>
    </row>
    <row r="110" spans="1:10" ht="78" customHeight="1" hidden="1">
      <c r="A110" s="29"/>
      <c r="B110" s="57" t="s">
        <v>39</v>
      </c>
      <c r="C110" s="45" t="s">
        <v>21</v>
      </c>
      <c r="D110" s="45" t="s">
        <v>92</v>
      </c>
      <c r="E110" s="46">
        <f>E112</f>
        <v>1015.8</v>
      </c>
      <c r="F110" s="51">
        <f>F112</f>
        <v>1015.8</v>
      </c>
      <c r="G110" s="34">
        <f t="shared" si="33"/>
        <v>0</v>
      </c>
      <c r="H110" s="51">
        <f>H112</f>
        <v>1015.8</v>
      </c>
      <c r="I110" s="48">
        <f>I112</f>
        <v>1026.1</v>
      </c>
      <c r="J110" s="28">
        <f t="shared" si="0"/>
        <v>10.299999999999955</v>
      </c>
    </row>
    <row r="111" spans="1:10" ht="37.5" customHeight="1" hidden="1">
      <c r="A111" s="29"/>
      <c r="B111" s="40" t="s">
        <v>103</v>
      </c>
      <c r="C111" s="45" t="s">
        <v>21</v>
      </c>
      <c r="D111" s="45" t="s">
        <v>92</v>
      </c>
      <c r="E111" s="46">
        <f>E112</f>
        <v>1015.8</v>
      </c>
      <c r="F111" s="51">
        <f>F112</f>
        <v>1015.8</v>
      </c>
      <c r="G111" s="34">
        <f t="shared" si="33"/>
        <v>0</v>
      </c>
      <c r="H111" s="51">
        <f>H112</f>
        <v>1015.8</v>
      </c>
      <c r="I111" s="48">
        <f>I112</f>
        <v>1026.1</v>
      </c>
      <c r="J111" s="28">
        <f t="shared" si="0"/>
        <v>10.299999999999955</v>
      </c>
    </row>
    <row r="112" spans="1:10" ht="104.25" customHeight="1" hidden="1">
      <c r="A112" s="29"/>
      <c r="B112" s="41" t="s">
        <v>41</v>
      </c>
      <c r="C112" s="53" t="s">
        <v>21</v>
      </c>
      <c r="D112" s="53" t="s">
        <v>92</v>
      </c>
      <c r="E112" s="54">
        <v>1015.8</v>
      </c>
      <c r="F112" s="110">
        <v>1015.8</v>
      </c>
      <c r="G112" s="34">
        <f t="shared" si="33"/>
        <v>0</v>
      </c>
      <c r="H112" s="110">
        <v>1015.8</v>
      </c>
      <c r="I112" s="56">
        <v>1026.1</v>
      </c>
      <c r="J112" s="28">
        <f t="shared" si="0"/>
        <v>10.299999999999955</v>
      </c>
    </row>
    <row r="113" spans="1:10" ht="40.5" customHeight="1" hidden="1">
      <c r="A113" s="29"/>
      <c r="B113" s="57" t="s">
        <v>104</v>
      </c>
      <c r="C113" s="111" t="s">
        <v>21</v>
      </c>
      <c r="D113" s="112" t="s">
        <v>92</v>
      </c>
      <c r="E113" s="108">
        <f>E114</f>
        <v>840</v>
      </c>
      <c r="F113" s="65">
        <f>F114</f>
        <v>840</v>
      </c>
      <c r="G113" s="34">
        <f t="shared" si="33"/>
        <v>0</v>
      </c>
      <c r="H113" s="65">
        <f aca="true" t="shared" si="42" ref="H113:H114">H114</f>
        <v>840</v>
      </c>
      <c r="I113" s="66">
        <f aca="true" t="shared" si="43" ref="I113:I114">I114</f>
        <v>373.6</v>
      </c>
      <c r="J113" s="28">
        <f t="shared" si="0"/>
        <v>-466.4</v>
      </c>
    </row>
    <row r="114" spans="1:10" ht="46.5" customHeight="1" hidden="1">
      <c r="A114" s="29"/>
      <c r="B114" s="71" t="s">
        <v>105</v>
      </c>
      <c r="C114" s="112" t="s">
        <v>21</v>
      </c>
      <c r="D114" s="112" t="s">
        <v>92</v>
      </c>
      <c r="E114" s="108">
        <f>E115+E117</f>
        <v>840</v>
      </c>
      <c r="F114" s="65">
        <f>F115+F117</f>
        <v>840</v>
      </c>
      <c r="G114" s="34">
        <f t="shared" si="33"/>
        <v>0</v>
      </c>
      <c r="H114" s="65">
        <f t="shared" si="42"/>
        <v>840</v>
      </c>
      <c r="I114" s="66">
        <f t="shared" si="43"/>
        <v>373.6</v>
      </c>
      <c r="J114" s="28">
        <f t="shared" si="0"/>
        <v>-466.4</v>
      </c>
    </row>
    <row r="115" spans="1:10" ht="44.25" customHeight="1" hidden="1">
      <c r="A115" s="29"/>
      <c r="B115" s="40" t="s">
        <v>106</v>
      </c>
      <c r="C115" s="112" t="s">
        <v>21</v>
      </c>
      <c r="D115" s="112" t="s">
        <v>92</v>
      </c>
      <c r="E115" s="108">
        <f>E116</f>
        <v>504</v>
      </c>
      <c r="F115" s="65">
        <f>F116</f>
        <v>504</v>
      </c>
      <c r="G115" s="34">
        <f t="shared" si="33"/>
        <v>0</v>
      </c>
      <c r="H115" s="65">
        <f>H116+H117</f>
        <v>840</v>
      </c>
      <c r="I115" s="66">
        <v>373.6</v>
      </c>
      <c r="J115" s="28">
        <f t="shared" si="0"/>
        <v>-466.4</v>
      </c>
    </row>
    <row r="116" spans="1:10" ht="44.25" customHeight="1" hidden="1">
      <c r="A116" s="29"/>
      <c r="B116" s="40" t="s">
        <v>107</v>
      </c>
      <c r="C116" s="112" t="s">
        <v>21</v>
      </c>
      <c r="D116" s="112" t="s">
        <v>92</v>
      </c>
      <c r="E116" s="108">
        <v>504</v>
      </c>
      <c r="F116" s="65">
        <v>504</v>
      </c>
      <c r="G116" s="34">
        <f t="shared" si="33"/>
        <v>0</v>
      </c>
      <c r="H116" s="65">
        <v>504</v>
      </c>
      <c r="I116" s="66">
        <v>0</v>
      </c>
      <c r="J116" s="28">
        <f t="shared" si="0"/>
        <v>-504</v>
      </c>
    </row>
    <row r="117" spans="1:10" ht="48" customHeight="1" hidden="1">
      <c r="A117" s="29"/>
      <c r="B117" s="40" t="s">
        <v>107</v>
      </c>
      <c r="C117" s="112" t="s">
        <v>21</v>
      </c>
      <c r="D117" s="112" t="s">
        <v>92</v>
      </c>
      <c r="E117" s="108">
        <f>336</f>
        <v>336</v>
      </c>
      <c r="F117" s="65">
        <f>336</f>
        <v>336</v>
      </c>
      <c r="G117" s="34">
        <f t="shared" si="33"/>
        <v>0</v>
      </c>
      <c r="H117" s="65">
        <f>336</f>
        <v>336</v>
      </c>
      <c r="I117" s="66">
        <v>0</v>
      </c>
      <c r="J117" s="28">
        <f t="shared" si="0"/>
        <v>-336</v>
      </c>
    </row>
    <row r="118" spans="1:10" ht="48" customHeight="1" hidden="1">
      <c r="A118" s="29"/>
      <c r="B118" s="40" t="s">
        <v>107</v>
      </c>
      <c r="C118" s="112" t="s">
        <v>21</v>
      </c>
      <c r="D118" s="112" t="s">
        <v>92</v>
      </c>
      <c r="E118" s="108"/>
      <c r="F118" s="65"/>
      <c r="G118" s="34"/>
      <c r="H118" s="65">
        <f>840</f>
        <v>840</v>
      </c>
      <c r="I118" s="66">
        <v>373.7</v>
      </c>
      <c r="J118" s="28">
        <f t="shared" si="0"/>
        <v>-466.3</v>
      </c>
    </row>
    <row r="119" spans="1:10" ht="16.5">
      <c r="A119" s="29"/>
      <c r="B119" s="30" t="s">
        <v>108</v>
      </c>
      <c r="C119" s="59" t="s">
        <v>74</v>
      </c>
      <c r="D119" s="59"/>
      <c r="E119" s="60">
        <f>E120+E148+E179+E140</f>
        <v>13794.4</v>
      </c>
      <c r="F119" s="69">
        <f>F120+F148+F179+F140</f>
        <v>20647.87261</v>
      </c>
      <c r="G119" s="26">
        <f>F119-E119+8</f>
        <v>6861.472609999999</v>
      </c>
      <c r="H119" s="69">
        <f>H120+H148+H179+H140</f>
        <v>78410.35217</v>
      </c>
      <c r="I119" s="62">
        <f>I120+I148+I179+I140</f>
        <v>71782.24999999999</v>
      </c>
      <c r="J119" s="28">
        <f t="shared" si="0"/>
        <v>-6628.102170000013</v>
      </c>
    </row>
    <row r="120" spans="1:10" ht="15" customHeight="1">
      <c r="A120" s="29"/>
      <c r="B120" s="57" t="s">
        <v>109</v>
      </c>
      <c r="C120" s="59" t="s">
        <v>74</v>
      </c>
      <c r="D120" s="59" t="s">
        <v>13</v>
      </c>
      <c r="E120" s="113">
        <f>E135+E121</f>
        <v>2007</v>
      </c>
      <c r="F120" s="69">
        <f>F135+F121</f>
        <v>1957</v>
      </c>
      <c r="G120" s="26">
        <f aca="true" t="shared" si="44" ref="G120:G123">F120-E120</f>
        <v>-50</v>
      </c>
      <c r="H120" s="69">
        <f>H135+H121+H132</f>
        <v>58923.68558</v>
      </c>
      <c r="I120" s="62">
        <f>I135+I121+I132</f>
        <v>56418.25</v>
      </c>
      <c r="J120" s="28">
        <f t="shared" si="0"/>
        <v>-2505.4355799999976</v>
      </c>
    </row>
    <row r="121" spans="1:10" ht="42.75" customHeight="1" hidden="1">
      <c r="A121" s="29"/>
      <c r="B121" s="57" t="s">
        <v>110</v>
      </c>
      <c r="C121" s="112" t="s">
        <v>74</v>
      </c>
      <c r="D121" s="112" t="s">
        <v>13</v>
      </c>
      <c r="E121" s="50">
        <f aca="true" t="shared" si="45" ref="E121:E122">E122</f>
        <v>1100</v>
      </c>
      <c r="F121" s="51">
        <f aca="true" t="shared" si="46" ref="F121:F122">F122</f>
        <v>1050</v>
      </c>
      <c r="G121" s="34">
        <f t="shared" si="44"/>
        <v>-50</v>
      </c>
      <c r="H121" s="105">
        <f>H122+H127+H128+H129+H130+H131</f>
        <v>57850.135579999995</v>
      </c>
      <c r="I121" s="48">
        <f>I122+I127+I128+I129+I130+I131</f>
        <v>55444</v>
      </c>
      <c r="J121" s="28">
        <f t="shared" si="0"/>
        <v>-2406.1355799999947</v>
      </c>
    </row>
    <row r="122" spans="1:10" ht="29.25" customHeight="1" hidden="1">
      <c r="A122" s="29"/>
      <c r="B122" s="57" t="s">
        <v>111</v>
      </c>
      <c r="C122" s="112" t="s">
        <v>74</v>
      </c>
      <c r="D122" s="112" t="s">
        <v>13</v>
      </c>
      <c r="E122" s="50">
        <f t="shared" si="45"/>
        <v>1100</v>
      </c>
      <c r="F122" s="51">
        <f t="shared" si="46"/>
        <v>1050</v>
      </c>
      <c r="G122" s="34">
        <f t="shared" si="44"/>
        <v>-50</v>
      </c>
      <c r="H122" s="105">
        <f>H123+H124+H125+H126</f>
        <v>11393.23446</v>
      </c>
      <c r="I122" s="48">
        <f>I123+I124+I125+I126</f>
        <v>11310.9</v>
      </c>
      <c r="J122" s="28">
        <f t="shared" si="0"/>
        <v>-82.33446000000004</v>
      </c>
    </row>
    <row r="123" spans="1:10" ht="45" customHeight="1" hidden="1">
      <c r="A123" s="29"/>
      <c r="B123" s="95" t="s">
        <v>112</v>
      </c>
      <c r="C123" s="112" t="s">
        <v>74</v>
      </c>
      <c r="D123" s="112" t="s">
        <v>13</v>
      </c>
      <c r="E123" s="108">
        <f>1400-300-1000+1000</f>
        <v>1100</v>
      </c>
      <c r="F123" s="65">
        <f>1400-300-1000+1000-50</f>
        <v>1050</v>
      </c>
      <c r="G123" s="34">
        <f t="shared" si="44"/>
        <v>-50</v>
      </c>
      <c r="H123" s="78">
        <f>1400-300-1000+1000-50+502.15645-50-20+331.74702-16.55+3264.7</f>
        <v>5062.05347</v>
      </c>
      <c r="I123" s="66">
        <v>4999</v>
      </c>
      <c r="J123" s="81">
        <f t="shared" si="0"/>
        <v>-63.053469999999834</v>
      </c>
    </row>
    <row r="124" spans="1:10" ht="33.75" customHeight="1" hidden="1">
      <c r="A124" s="29"/>
      <c r="B124" s="95" t="s">
        <v>113</v>
      </c>
      <c r="C124" s="112" t="s">
        <v>74</v>
      </c>
      <c r="D124" s="112" t="s">
        <v>13</v>
      </c>
      <c r="E124" s="108"/>
      <c r="F124" s="65"/>
      <c r="G124" s="34"/>
      <c r="H124" s="78">
        <v>20</v>
      </c>
      <c r="I124" s="66">
        <v>19.2</v>
      </c>
      <c r="J124" s="81">
        <f t="shared" si="0"/>
        <v>-0.8000000000000007</v>
      </c>
    </row>
    <row r="125" spans="1:10" ht="96.75" customHeight="1" hidden="1">
      <c r="A125" s="29"/>
      <c r="B125" s="95" t="s">
        <v>114</v>
      </c>
      <c r="C125" s="112" t="s">
        <v>74</v>
      </c>
      <c r="D125" s="112" t="s">
        <v>13</v>
      </c>
      <c r="E125" s="108"/>
      <c r="F125" s="65"/>
      <c r="G125" s="34"/>
      <c r="H125" s="78">
        <f>5995.62194</f>
        <v>5995.62194</v>
      </c>
      <c r="I125" s="66">
        <v>5978.1</v>
      </c>
      <c r="J125" s="28">
        <f t="shared" si="0"/>
        <v>-17.52193999999963</v>
      </c>
    </row>
    <row r="126" spans="1:10" ht="94.5" customHeight="1" hidden="1">
      <c r="A126" s="29"/>
      <c r="B126" s="95" t="s">
        <v>115</v>
      </c>
      <c r="C126" s="112" t="s">
        <v>74</v>
      </c>
      <c r="D126" s="112" t="s">
        <v>13</v>
      </c>
      <c r="E126" s="108"/>
      <c r="F126" s="65"/>
      <c r="G126" s="34"/>
      <c r="H126" s="78">
        <f>315.55905</f>
        <v>315.55905</v>
      </c>
      <c r="I126" s="66">
        <v>314.6</v>
      </c>
      <c r="J126" s="28">
        <f t="shared" si="0"/>
        <v>-0.9590499999999906</v>
      </c>
    </row>
    <row r="127" spans="1:10" ht="72.75" customHeight="1" hidden="1">
      <c r="A127" s="29"/>
      <c r="B127" s="57" t="s">
        <v>116</v>
      </c>
      <c r="C127" s="112" t="s">
        <v>74</v>
      </c>
      <c r="D127" s="112" t="s">
        <v>13</v>
      </c>
      <c r="E127" s="108"/>
      <c r="F127" s="65"/>
      <c r="G127" s="34"/>
      <c r="H127" s="78">
        <f>45527.7631-45527.7631</f>
        <v>0</v>
      </c>
      <c r="I127" s="66">
        <f>45527.7631-45527.7631</f>
        <v>0</v>
      </c>
      <c r="J127" s="28">
        <f t="shared" si="0"/>
        <v>0</v>
      </c>
    </row>
    <row r="128" spans="1:10" ht="74.25" customHeight="1" hidden="1">
      <c r="A128" s="29"/>
      <c r="B128" s="57" t="s">
        <v>116</v>
      </c>
      <c r="C128" s="112" t="s">
        <v>74</v>
      </c>
      <c r="D128" s="112" t="s">
        <v>13</v>
      </c>
      <c r="E128" s="108"/>
      <c r="F128" s="65"/>
      <c r="G128" s="34"/>
      <c r="H128" s="78">
        <f>45527.7631</f>
        <v>45527.7631</v>
      </c>
      <c r="I128" s="66">
        <v>43250.4</v>
      </c>
      <c r="J128" s="28">
        <f t="shared" si="0"/>
        <v>-2277.363099999995</v>
      </c>
    </row>
    <row r="129" spans="1:10" ht="51" customHeight="1" hidden="1">
      <c r="A129" s="29"/>
      <c r="B129" s="57" t="s">
        <v>117</v>
      </c>
      <c r="C129" s="112" t="s">
        <v>74</v>
      </c>
      <c r="D129" s="112" t="s">
        <v>13</v>
      </c>
      <c r="E129" s="108"/>
      <c r="F129" s="65"/>
      <c r="G129" s="34"/>
      <c r="H129" s="78">
        <f>929.13802-929.13802</f>
        <v>0</v>
      </c>
      <c r="I129" s="66">
        <f>929.13802-929.13802</f>
        <v>0</v>
      </c>
      <c r="J129" s="28">
        <f t="shared" si="0"/>
        <v>0</v>
      </c>
    </row>
    <row r="130" spans="1:10" ht="43.5" customHeight="1" hidden="1">
      <c r="A130" s="29"/>
      <c r="B130" s="57" t="s">
        <v>117</v>
      </c>
      <c r="C130" s="112" t="s">
        <v>74</v>
      </c>
      <c r="D130" s="112" t="s">
        <v>13</v>
      </c>
      <c r="E130" s="108"/>
      <c r="F130" s="65"/>
      <c r="G130" s="34"/>
      <c r="H130" s="78">
        <v>696.85352</v>
      </c>
      <c r="I130" s="66">
        <v>662</v>
      </c>
      <c r="J130" s="28">
        <f t="shared" si="0"/>
        <v>-34.85352</v>
      </c>
    </row>
    <row r="131" spans="1:10" ht="51" customHeight="1" hidden="1">
      <c r="A131" s="29"/>
      <c r="B131" s="57" t="s">
        <v>117</v>
      </c>
      <c r="C131" s="112" t="s">
        <v>74</v>
      </c>
      <c r="D131" s="112" t="s">
        <v>13</v>
      </c>
      <c r="E131" s="108"/>
      <c r="F131" s="65"/>
      <c r="G131" s="34"/>
      <c r="H131" s="78">
        <v>232.2845</v>
      </c>
      <c r="I131" s="66">
        <v>220.7</v>
      </c>
      <c r="J131" s="81">
        <f t="shared" si="0"/>
        <v>-11.58450000000002</v>
      </c>
    </row>
    <row r="132" spans="1:10" ht="20.25" customHeight="1" hidden="1">
      <c r="A132" s="29"/>
      <c r="B132" s="95" t="s">
        <v>16</v>
      </c>
      <c r="C132" s="112" t="s">
        <v>74</v>
      </c>
      <c r="D132" s="112" t="s">
        <v>13</v>
      </c>
      <c r="E132" s="108"/>
      <c r="F132" s="65"/>
      <c r="G132" s="34"/>
      <c r="H132" s="65">
        <f aca="true" t="shared" si="47" ref="H132:H133">H133</f>
        <v>166.55</v>
      </c>
      <c r="I132" s="66">
        <f aca="true" t="shared" si="48" ref="I132:I133">I133</f>
        <v>116.55000000000001</v>
      </c>
      <c r="J132" s="63">
        <f t="shared" si="0"/>
        <v>-50</v>
      </c>
    </row>
    <row r="133" spans="1:10" ht="18.75" customHeight="1" hidden="1">
      <c r="A133" s="29"/>
      <c r="B133" s="95" t="s">
        <v>32</v>
      </c>
      <c r="C133" s="112" t="s">
        <v>74</v>
      </c>
      <c r="D133" s="112" t="s">
        <v>13</v>
      </c>
      <c r="E133" s="108"/>
      <c r="F133" s="65"/>
      <c r="G133" s="34"/>
      <c r="H133" s="65">
        <f t="shared" si="47"/>
        <v>166.55</v>
      </c>
      <c r="I133" s="66">
        <f t="shared" si="48"/>
        <v>116.55000000000001</v>
      </c>
      <c r="J133" s="63">
        <f t="shared" si="0"/>
        <v>-50</v>
      </c>
    </row>
    <row r="134" spans="1:10" ht="31.5" customHeight="1" hidden="1">
      <c r="A134" s="29"/>
      <c r="B134" s="95" t="s">
        <v>118</v>
      </c>
      <c r="C134" s="112" t="s">
        <v>74</v>
      </c>
      <c r="D134" s="112" t="s">
        <v>13</v>
      </c>
      <c r="E134" s="108"/>
      <c r="F134" s="65"/>
      <c r="G134" s="34"/>
      <c r="H134" s="65">
        <f>50+50+16.55+50</f>
        <v>166.55</v>
      </c>
      <c r="I134" s="66">
        <f>50+50+16.55+50-50</f>
        <v>116.55000000000001</v>
      </c>
      <c r="J134" s="67">
        <f t="shared" si="0"/>
        <v>-50</v>
      </c>
    </row>
    <row r="135" spans="1:10" ht="36" customHeight="1" hidden="1">
      <c r="A135" s="29"/>
      <c r="B135" s="57" t="s">
        <v>119</v>
      </c>
      <c r="C135" s="45" t="s">
        <v>74</v>
      </c>
      <c r="D135" s="45" t="s">
        <v>13</v>
      </c>
      <c r="E135" s="50">
        <f>E136+E138</f>
        <v>907</v>
      </c>
      <c r="F135" s="105">
        <f>F136+F138</f>
        <v>907</v>
      </c>
      <c r="G135" s="26">
        <f aca="true" t="shared" si="49" ref="G135:G146">F135-E135</f>
        <v>0</v>
      </c>
      <c r="H135" s="105">
        <f>H136+H138</f>
        <v>907</v>
      </c>
      <c r="I135" s="48">
        <f>I136+I138</f>
        <v>857.7</v>
      </c>
      <c r="J135" s="28">
        <f t="shared" si="0"/>
        <v>-49.299999999999955</v>
      </c>
    </row>
    <row r="136" spans="1:10" ht="33.75" customHeight="1" hidden="1">
      <c r="A136" s="29"/>
      <c r="B136" s="85" t="s">
        <v>120</v>
      </c>
      <c r="C136" s="45" t="s">
        <v>74</v>
      </c>
      <c r="D136" s="45" t="s">
        <v>13</v>
      </c>
      <c r="E136" s="50">
        <f>E137</f>
        <v>907</v>
      </c>
      <c r="F136" s="105">
        <f>F137</f>
        <v>907</v>
      </c>
      <c r="G136" s="26">
        <f t="shared" si="49"/>
        <v>0</v>
      </c>
      <c r="H136" s="105">
        <f>H137</f>
        <v>907</v>
      </c>
      <c r="I136" s="48">
        <f>I137</f>
        <v>857.7</v>
      </c>
      <c r="J136" s="28">
        <f t="shared" si="0"/>
        <v>-49.299999999999955</v>
      </c>
    </row>
    <row r="137" spans="1:10" ht="40.5" hidden="1">
      <c r="A137" s="29"/>
      <c r="B137" s="95" t="s">
        <v>121</v>
      </c>
      <c r="C137" s="45" t="s">
        <v>74</v>
      </c>
      <c r="D137" s="45" t="s">
        <v>13</v>
      </c>
      <c r="E137" s="108">
        <v>907</v>
      </c>
      <c r="F137" s="78">
        <f>907-338.54293+338.54293</f>
        <v>907</v>
      </c>
      <c r="G137" s="26">
        <f t="shared" si="49"/>
        <v>0</v>
      </c>
      <c r="H137" s="78">
        <f>907-338.54293+338.54293</f>
        <v>907</v>
      </c>
      <c r="I137" s="66">
        <v>857.7</v>
      </c>
      <c r="J137" s="81">
        <f t="shared" si="0"/>
        <v>-49.299999999999955</v>
      </c>
    </row>
    <row r="138" spans="1:10" ht="0.75" customHeight="1">
      <c r="A138" s="29"/>
      <c r="B138" s="85" t="s">
        <v>122</v>
      </c>
      <c r="C138" s="45" t="s">
        <v>74</v>
      </c>
      <c r="D138" s="45" t="s">
        <v>13</v>
      </c>
      <c r="E138" s="50">
        <f>E139</f>
        <v>0</v>
      </c>
      <c r="F138" s="51">
        <f>F139</f>
        <v>0</v>
      </c>
      <c r="G138" s="34">
        <f t="shared" si="49"/>
        <v>0</v>
      </c>
      <c r="H138" s="51">
        <f>H139</f>
        <v>0</v>
      </c>
      <c r="I138" s="48">
        <f>I139</f>
        <v>0</v>
      </c>
      <c r="J138" s="28">
        <f t="shared" si="0"/>
        <v>0</v>
      </c>
    </row>
    <row r="139" spans="1:10" ht="78" customHeight="1" hidden="1">
      <c r="A139" s="29"/>
      <c r="B139" s="114" t="s">
        <v>123</v>
      </c>
      <c r="C139" s="53" t="s">
        <v>74</v>
      </c>
      <c r="D139" s="53" t="s">
        <v>13</v>
      </c>
      <c r="E139" s="54">
        <v>0</v>
      </c>
      <c r="F139" s="110">
        <v>0</v>
      </c>
      <c r="G139" s="34">
        <f t="shared" si="49"/>
        <v>0</v>
      </c>
      <c r="H139" s="110">
        <v>0</v>
      </c>
      <c r="I139" s="56">
        <v>0</v>
      </c>
      <c r="J139" s="28">
        <f t="shared" si="0"/>
        <v>0</v>
      </c>
    </row>
    <row r="140" spans="1:10" ht="16.5">
      <c r="A140" s="29"/>
      <c r="B140" s="85" t="s">
        <v>124</v>
      </c>
      <c r="C140" s="59" t="s">
        <v>74</v>
      </c>
      <c r="D140" s="59" t="s">
        <v>54</v>
      </c>
      <c r="E140" s="68">
        <f aca="true" t="shared" si="50" ref="E140:E141">E141</f>
        <v>2276</v>
      </c>
      <c r="F140" s="61">
        <f aca="true" t="shared" si="51" ref="F140:F141">F141</f>
        <v>3508</v>
      </c>
      <c r="G140" s="34">
        <f t="shared" si="49"/>
        <v>1232</v>
      </c>
      <c r="H140" s="61">
        <f aca="true" t="shared" si="52" ref="H140:H141">H141</f>
        <v>3508</v>
      </c>
      <c r="I140" s="62">
        <f aca="true" t="shared" si="53" ref="I140:I141">I141</f>
        <v>336.2</v>
      </c>
      <c r="J140" s="28">
        <f t="shared" si="0"/>
        <v>-3171.8</v>
      </c>
    </row>
    <row r="141" spans="1:10" ht="16.5" hidden="1">
      <c r="A141" s="29"/>
      <c r="B141" s="85" t="s">
        <v>16</v>
      </c>
      <c r="C141" s="45" t="s">
        <v>74</v>
      </c>
      <c r="D141" s="45" t="s">
        <v>54</v>
      </c>
      <c r="E141" s="50">
        <f t="shared" si="50"/>
        <v>2276</v>
      </c>
      <c r="F141" s="51">
        <f t="shared" si="51"/>
        <v>3508</v>
      </c>
      <c r="G141" s="34">
        <f t="shared" si="49"/>
        <v>1232</v>
      </c>
      <c r="H141" s="51">
        <f t="shared" si="52"/>
        <v>3508</v>
      </c>
      <c r="I141" s="48">
        <f t="shared" si="53"/>
        <v>336.2</v>
      </c>
      <c r="J141" s="28">
        <f t="shared" si="0"/>
        <v>-3171.8</v>
      </c>
    </row>
    <row r="142" spans="1:10" ht="16.5" hidden="1">
      <c r="A142" s="29"/>
      <c r="B142" s="85" t="s">
        <v>32</v>
      </c>
      <c r="C142" s="45" t="s">
        <v>74</v>
      </c>
      <c r="D142" s="45" t="s">
        <v>54</v>
      </c>
      <c r="E142" s="50">
        <f>E143+E145+E146+E144</f>
        <v>2276</v>
      </c>
      <c r="F142" s="51">
        <f>F143+F144+F145+F146</f>
        <v>3508</v>
      </c>
      <c r="G142" s="34">
        <f t="shared" si="49"/>
        <v>1232</v>
      </c>
      <c r="H142" s="51">
        <f>H143+H144+H145+H146</f>
        <v>3508</v>
      </c>
      <c r="I142" s="48">
        <f>I143+I144+I145+I146</f>
        <v>336.2</v>
      </c>
      <c r="J142" s="28">
        <f t="shared" si="0"/>
        <v>-3171.8</v>
      </c>
    </row>
    <row r="143" spans="1:10" ht="52.5" customHeight="1" hidden="1">
      <c r="A143" s="29"/>
      <c r="B143" s="85" t="s">
        <v>125</v>
      </c>
      <c r="C143" s="112" t="s">
        <v>74</v>
      </c>
      <c r="D143" s="112" t="s">
        <v>54</v>
      </c>
      <c r="E143" s="108">
        <v>700</v>
      </c>
      <c r="F143" s="65">
        <f>700-700</f>
        <v>0</v>
      </c>
      <c r="G143" s="34">
        <f t="shared" si="49"/>
        <v>-700</v>
      </c>
      <c r="H143" s="65">
        <f>700-700</f>
        <v>0</v>
      </c>
      <c r="I143" s="66">
        <f>700-700</f>
        <v>0</v>
      </c>
      <c r="J143" s="28">
        <f t="shared" si="0"/>
        <v>0</v>
      </c>
    </row>
    <row r="144" spans="1:10" ht="51" customHeight="1" hidden="1">
      <c r="A144" s="29"/>
      <c r="B144" s="85" t="s">
        <v>126</v>
      </c>
      <c r="C144" s="112" t="s">
        <v>74</v>
      </c>
      <c r="D144" s="112" t="s">
        <v>54</v>
      </c>
      <c r="E144" s="108">
        <v>0</v>
      </c>
      <c r="F144" s="65">
        <f>700</f>
        <v>700</v>
      </c>
      <c r="G144" s="34">
        <f t="shared" si="49"/>
        <v>700</v>
      </c>
      <c r="H144" s="65">
        <f>700-700+700</f>
        <v>700</v>
      </c>
      <c r="I144" s="66">
        <f>700-700+700-700</f>
        <v>0</v>
      </c>
      <c r="J144" s="63">
        <f t="shared" si="0"/>
        <v>-700</v>
      </c>
    </row>
    <row r="145" spans="1:10" ht="73.5" customHeight="1" hidden="1">
      <c r="A145" s="29"/>
      <c r="B145" s="85" t="s">
        <v>127</v>
      </c>
      <c r="C145" s="112" t="s">
        <v>74</v>
      </c>
      <c r="D145" s="112" t="s">
        <v>54</v>
      </c>
      <c r="E145" s="108">
        <f>800+676</f>
        <v>1476</v>
      </c>
      <c r="F145" s="65">
        <f>800+676+1232</f>
        <v>2708</v>
      </c>
      <c r="G145" s="34">
        <f t="shared" si="49"/>
        <v>1232</v>
      </c>
      <c r="H145" s="65">
        <f>800+676+1232</f>
        <v>2708</v>
      </c>
      <c r="I145" s="66">
        <v>336.2</v>
      </c>
      <c r="J145" s="81">
        <f t="shared" si="0"/>
        <v>-2371.8</v>
      </c>
    </row>
    <row r="146" spans="1:10" ht="71.25" customHeight="1" hidden="1">
      <c r="A146" s="29"/>
      <c r="B146" s="85" t="s">
        <v>128</v>
      </c>
      <c r="C146" s="112" t="s">
        <v>74</v>
      </c>
      <c r="D146" s="112" t="s">
        <v>54</v>
      </c>
      <c r="E146" s="108">
        <v>100</v>
      </c>
      <c r="F146" s="65">
        <v>100</v>
      </c>
      <c r="G146" s="34">
        <f t="shared" si="49"/>
        <v>0</v>
      </c>
      <c r="H146" s="65">
        <v>100</v>
      </c>
      <c r="I146" s="66">
        <f>100-61.46628-38.53372</f>
        <v>0</v>
      </c>
      <c r="J146" s="103">
        <f t="shared" si="0"/>
        <v>-100</v>
      </c>
    </row>
    <row r="147" spans="1:10" ht="27.75" customHeight="1" hidden="1">
      <c r="A147" s="29"/>
      <c r="B147" s="95" t="s">
        <v>129</v>
      </c>
      <c r="C147" s="112" t="s">
        <v>74</v>
      </c>
      <c r="D147" s="112" t="s">
        <v>13</v>
      </c>
      <c r="E147" s="108"/>
      <c r="F147" s="65"/>
      <c r="G147" s="34"/>
      <c r="H147" s="65"/>
      <c r="I147" s="66"/>
      <c r="J147" s="28">
        <f t="shared" si="0"/>
        <v>0</v>
      </c>
    </row>
    <row r="148" spans="1:10" ht="16.5">
      <c r="A148" s="29"/>
      <c r="B148" s="57" t="s">
        <v>130</v>
      </c>
      <c r="C148" s="59" t="s">
        <v>74</v>
      </c>
      <c r="D148" s="59" t="s">
        <v>15</v>
      </c>
      <c r="E148" s="68">
        <f>E152+E176+E163+E149</f>
        <v>7744.1</v>
      </c>
      <c r="F148" s="69">
        <f>F149+F152+F163+F176</f>
        <v>13415.57261</v>
      </c>
      <c r="G148" s="26">
        <f aca="true" t="shared" si="54" ref="G148:G157">F148-E148</f>
        <v>5671.472609999999</v>
      </c>
      <c r="H148" s="69">
        <f>H149+H152+H163+H176</f>
        <v>14211.366590000001</v>
      </c>
      <c r="I148" s="62">
        <f>I149+I152+I163+I176</f>
        <v>13242.900000000001</v>
      </c>
      <c r="J148" s="28">
        <f t="shared" si="0"/>
        <v>-968.46659</v>
      </c>
    </row>
    <row r="149" spans="1:10" ht="43.5" customHeight="1" hidden="1">
      <c r="A149" s="29"/>
      <c r="B149" s="57" t="s">
        <v>61</v>
      </c>
      <c r="C149" s="45" t="s">
        <v>74</v>
      </c>
      <c r="D149" s="45" t="s">
        <v>15</v>
      </c>
      <c r="E149" s="46">
        <f>E151</f>
        <v>1600</v>
      </c>
      <c r="F149" s="51">
        <f>F151</f>
        <v>1600</v>
      </c>
      <c r="G149" s="34">
        <f t="shared" si="54"/>
        <v>0</v>
      </c>
      <c r="H149" s="76">
        <f>H151</f>
        <v>1450.921</v>
      </c>
      <c r="I149" s="48">
        <f>I151</f>
        <v>987.1</v>
      </c>
      <c r="J149" s="28">
        <f t="shared" si="0"/>
        <v>-463.821</v>
      </c>
    </row>
    <row r="150" spans="1:10" ht="30.75" customHeight="1" hidden="1">
      <c r="A150" s="29"/>
      <c r="B150" s="57" t="s">
        <v>131</v>
      </c>
      <c r="C150" s="45" t="s">
        <v>74</v>
      </c>
      <c r="D150" s="45" t="s">
        <v>15</v>
      </c>
      <c r="E150" s="46">
        <f>E151</f>
        <v>1600</v>
      </c>
      <c r="F150" s="51">
        <f>F151</f>
        <v>1600</v>
      </c>
      <c r="G150" s="34">
        <f t="shared" si="54"/>
        <v>0</v>
      </c>
      <c r="H150" s="76">
        <f>H151</f>
        <v>1450.921</v>
      </c>
      <c r="I150" s="48">
        <f>I151</f>
        <v>987.1</v>
      </c>
      <c r="J150" s="28">
        <f t="shared" si="0"/>
        <v>-463.821</v>
      </c>
    </row>
    <row r="151" spans="1:10" ht="30.75" customHeight="1" hidden="1">
      <c r="A151" s="29"/>
      <c r="B151" s="95" t="s">
        <v>63</v>
      </c>
      <c r="C151" s="45" t="s">
        <v>74</v>
      </c>
      <c r="D151" s="45" t="s">
        <v>15</v>
      </c>
      <c r="E151" s="64">
        <f>200+300+1100</f>
        <v>1600</v>
      </c>
      <c r="F151" s="65">
        <f>200+300+1100</f>
        <v>1600</v>
      </c>
      <c r="G151" s="34">
        <f t="shared" si="54"/>
        <v>0</v>
      </c>
      <c r="H151" s="107">
        <f>200+300+1100-99.079-50</f>
        <v>1450.921</v>
      </c>
      <c r="I151" s="66">
        <v>987.1</v>
      </c>
      <c r="J151" s="28">
        <f t="shared" si="0"/>
        <v>-463.821</v>
      </c>
    </row>
    <row r="152" spans="1:10" ht="60.75" customHeight="1" hidden="1">
      <c r="A152" s="29"/>
      <c r="B152" s="57" t="s">
        <v>75</v>
      </c>
      <c r="C152" s="45" t="s">
        <v>74</v>
      </c>
      <c r="D152" s="45" t="s">
        <v>15</v>
      </c>
      <c r="E152" s="50">
        <f>E153+E156+E159+E161</f>
        <v>3924.1</v>
      </c>
      <c r="F152" s="105">
        <f>F153+F156+F159+F161</f>
        <v>3935.97759</v>
      </c>
      <c r="G152" s="26">
        <f t="shared" si="54"/>
        <v>11.877590000000055</v>
      </c>
      <c r="H152" s="105">
        <f>H153+H156+H159+H161</f>
        <v>4912.59759</v>
      </c>
      <c r="I152" s="48">
        <f>I153+I156+I159+I161</f>
        <v>4604.6</v>
      </c>
      <c r="J152" s="28">
        <f t="shared" si="0"/>
        <v>-307.99758999999995</v>
      </c>
    </row>
    <row r="153" spans="1:10" ht="30.75" customHeight="1" hidden="1">
      <c r="A153" s="29"/>
      <c r="B153" s="95" t="s">
        <v>132</v>
      </c>
      <c r="C153" s="45" t="s">
        <v>74</v>
      </c>
      <c r="D153" s="45" t="s">
        <v>15</v>
      </c>
      <c r="E153" s="50">
        <f>E154</f>
        <v>2474.1</v>
      </c>
      <c r="F153" s="105">
        <f>F154+F155</f>
        <v>2485.97759</v>
      </c>
      <c r="G153" s="26">
        <f t="shared" si="54"/>
        <v>11.877590000000055</v>
      </c>
      <c r="H153" s="105">
        <f>H154+H155</f>
        <v>2985.97759</v>
      </c>
      <c r="I153" s="48">
        <f>I154+I155</f>
        <v>3206.2000000000003</v>
      </c>
      <c r="J153" s="28">
        <f t="shared" si="0"/>
        <v>220.2224100000003</v>
      </c>
    </row>
    <row r="154" spans="1:10" ht="33" customHeight="1" hidden="1">
      <c r="A154" s="29"/>
      <c r="B154" s="57" t="s">
        <v>133</v>
      </c>
      <c r="C154" s="45" t="s">
        <v>74</v>
      </c>
      <c r="D154" s="45" t="s">
        <v>15</v>
      </c>
      <c r="E154" s="50">
        <v>2474.1</v>
      </c>
      <c r="F154" s="105">
        <v>2474.1</v>
      </c>
      <c r="G154" s="26">
        <f t="shared" si="54"/>
        <v>0</v>
      </c>
      <c r="H154" s="105">
        <f>2474.1+500</f>
        <v>2974.1</v>
      </c>
      <c r="I154" s="48">
        <v>3202.4</v>
      </c>
      <c r="J154" s="28">
        <f t="shared" si="0"/>
        <v>228.30000000000018</v>
      </c>
    </row>
    <row r="155" spans="1:10" ht="26.25" customHeight="1" hidden="1">
      <c r="A155" s="29"/>
      <c r="B155" s="57" t="s">
        <v>134</v>
      </c>
      <c r="C155" s="45" t="s">
        <v>74</v>
      </c>
      <c r="D155" s="45" t="s">
        <v>15</v>
      </c>
      <c r="E155" s="50">
        <v>0</v>
      </c>
      <c r="F155" s="105">
        <f>0+2.37759+1.5+8</f>
        <v>11.87759</v>
      </c>
      <c r="G155" s="26">
        <f t="shared" si="54"/>
        <v>11.87759</v>
      </c>
      <c r="H155" s="105">
        <f>0+2.37759+1.5+8</f>
        <v>11.87759</v>
      </c>
      <c r="I155" s="48">
        <v>3.8</v>
      </c>
      <c r="J155" s="28">
        <f t="shared" si="0"/>
        <v>-8.07759</v>
      </c>
    </row>
    <row r="156" spans="1:10" ht="37.5" customHeight="1" hidden="1">
      <c r="A156" s="29"/>
      <c r="B156" s="95" t="s">
        <v>135</v>
      </c>
      <c r="C156" s="45" t="s">
        <v>74</v>
      </c>
      <c r="D156" s="45" t="s">
        <v>15</v>
      </c>
      <c r="E156" s="50">
        <f>E157</f>
        <v>100</v>
      </c>
      <c r="F156" s="105">
        <f>F157</f>
        <v>100</v>
      </c>
      <c r="G156" s="26">
        <f t="shared" si="54"/>
        <v>0</v>
      </c>
      <c r="H156" s="105">
        <f>H157</f>
        <v>100</v>
      </c>
      <c r="I156" s="48">
        <f>I157+I158</f>
        <v>0</v>
      </c>
      <c r="J156" s="28">
        <f t="shared" si="0"/>
        <v>-100</v>
      </c>
    </row>
    <row r="157" spans="1:10" ht="34.5" customHeight="1" hidden="1">
      <c r="A157" s="29"/>
      <c r="B157" s="57" t="s">
        <v>136</v>
      </c>
      <c r="C157" s="45" t="s">
        <v>74</v>
      </c>
      <c r="D157" s="45" t="s">
        <v>15</v>
      </c>
      <c r="E157" s="50">
        <v>100</v>
      </c>
      <c r="F157" s="105">
        <v>100</v>
      </c>
      <c r="G157" s="26">
        <f t="shared" si="54"/>
        <v>0</v>
      </c>
      <c r="H157" s="105">
        <v>100</v>
      </c>
      <c r="I157" s="48">
        <f>100-27.468-72.532</f>
        <v>0</v>
      </c>
      <c r="J157" s="28">
        <f t="shared" si="0"/>
        <v>-100</v>
      </c>
    </row>
    <row r="158" spans="1:10" ht="34.5" customHeight="1" hidden="1">
      <c r="A158" s="29"/>
      <c r="B158" s="57" t="s">
        <v>137</v>
      </c>
      <c r="C158" s="45" t="s">
        <v>74</v>
      </c>
      <c r="D158" s="45" t="s">
        <v>15</v>
      </c>
      <c r="E158" s="50"/>
      <c r="F158" s="105"/>
      <c r="G158" s="26"/>
      <c r="H158" s="105"/>
      <c r="I158" s="48">
        <v>0</v>
      </c>
      <c r="J158" s="28">
        <f t="shared" si="0"/>
        <v>0</v>
      </c>
    </row>
    <row r="159" spans="1:10" ht="30.75" customHeight="1" hidden="1">
      <c r="A159" s="29"/>
      <c r="B159" s="95" t="s">
        <v>138</v>
      </c>
      <c r="C159" s="45" t="s">
        <v>74</v>
      </c>
      <c r="D159" s="45" t="s">
        <v>15</v>
      </c>
      <c r="E159" s="50">
        <v>850</v>
      </c>
      <c r="F159" s="105">
        <v>850</v>
      </c>
      <c r="G159" s="26">
        <f aca="true" t="shared" si="55" ref="G159:G199">F159-E159</f>
        <v>0</v>
      </c>
      <c r="H159" s="105">
        <f>H160</f>
        <v>950</v>
      </c>
      <c r="I159" s="48">
        <f>I160</f>
        <v>598.4</v>
      </c>
      <c r="J159" s="28">
        <f t="shared" si="0"/>
        <v>-351.6</v>
      </c>
    </row>
    <row r="160" spans="1:10" ht="33" customHeight="1" hidden="1">
      <c r="A160" s="29"/>
      <c r="B160" s="57" t="s">
        <v>139</v>
      </c>
      <c r="C160" s="45" t="s">
        <v>74</v>
      </c>
      <c r="D160" s="45" t="s">
        <v>15</v>
      </c>
      <c r="E160" s="50">
        <v>850</v>
      </c>
      <c r="F160" s="105">
        <f>850-252.8+252.8</f>
        <v>850</v>
      </c>
      <c r="G160" s="26">
        <f t="shared" si="55"/>
        <v>0</v>
      </c>
      <c r="H160" s="105">
        <f>850-252.8+252.8+100</f>
        <v>950</v>
      </c>
      <c r="I160" s="48">
        <v>598.4</v>
      </c>
      <c r="J160" s="28">
        <f t="shared" si="0"/>
        <v>-351.6</v>
      </c>
    </row>
    <row r="161" spans="1:10" ht="29.25" customHeight="1" hidden="1">
      <c r="A161" s="29"/>
      <c r="B161" s="95" t="s">
        <v>140</v>
      </c>
      <c r="C161" s="45" t="s">
        <v>74</v>
      </c>
      <c r="D161" s="45" t="s">
        <v>15</v>
      </c>
      <c r="E161" s="50">
        <f>E162</f>
        <v>500</v>
      </c>
      <c r="F161" s="105">
        <f>F162</f>
        <v>500</v>
      </c>
      <c r="G161" s="26">
        <f t="shared" si="55"/>
        <v>0</v>
      </c>
      <c r="H161" s="105">
        <f>H162</f>
        <v>876.62</v>
      </c>
      <c r="I161" s="48">
        <f>I162</f>
        <v>800</v>
      </c>
      <c r="J161" s="28">
        <f t="shared" si="0"/>
        <v>-76.62</v>
      </c>
    </row>
    <row r="162" spans="1:10" ht="30.75" customHeight="1" hidden="1">
      <c r="A162" s="29"/>
      <c r="B162" s="57" t="s">
        <v>141</v>
      </c>
      <c r="C162" s="45" t="s">
        <v>74</v>
      </c>
      <c r="D162" s="45" t="s">
        <v>15</v>
      </c>
      <c r="E162" s="50">
        <v>500</v>
      </c>
      <c r="F162" s="105">
        <v>500</v>
      </c>
      <c r="G162" s="34">
        <f t="shared" si="55"/>
        <v>0</v>
      </c>
      <c r="H162" s="105">
        <f>500+376.62</f>
        <v>876.62</v>
      </c>
      <c r="I162" s="48">
        <v>800</v>
      </c>
      <c r="J162" s="81">
        <f t="shared" si="0"/>
        <v>-76.62</v>
      </c>
    </row>
    <row r="163" spans="1:10" ht="47.25" customHeight="1" hidden="1">
      <c r="A163" s="29"/>
      <c r="B163" s="104" t="s">
        <v>142</v>
      </c>
      <c r="C163" s="112" t="s">
        <v>74</v>
      </c>
      <c r="D163" s="112" t="s">
        <v>15</v>
      </c>
      <c r="E163" s="108">
        <f>E170+E172+E168</f>
        <v>700</v>
      </c>
      <c r="F163" s="78">
        <f>F170+F172+F168+F164+F174</f>
        <v>6359.59502</v>
      </c>
      <c r="G163" s="26">
        <f t="shared" si="55"/>
        <v>5659.59502</v>
      </c>
      <c r="H163" s="78">
        <f>H170+H172+H168+H164+H174</f>
        <v>6027.848</v>
      </c>
      <c r="I163" s="66">
        <f>I170+I172+I168+I164+I174</f>
        <v>5993.5</v>
      </c>
      <c r="J163" s="28">
        <f t="shared" si="0"/>
        <v>-34.347999999999956</v>
      </c>
    </row>
    <row r="164" spans="1:10" ht="55.5" customHeight="1" hidden="1">
      <c r="A164" s="29"/>
      <c r="B164" s="104" t="s">
        <v>143</v>
      </c>
      <c r="C164" s="112" t="s">
        <v>74</v>
      </c>
      <c r="D164" s="112" t="s">
        <v>15</v>
      </c>
      <c r="E164" s="108">
        <v>0</v>
      </c>
      <c r="F164" s="78">
        <f>F165+F166+F167</f>
        <v>5884.79502</v>
      </c>
      <c r="G164" s="26">
        <f t="shared" si="55"/>
        <v>5884.79502</v>
      </c>
      <c r="H164" s="78">
        <f>H165+H166+H167</f>
        <v>5884.79502</v>
      </c>
      <c r="I164" s="66">
        <f>I165+I166+I167</f>
        <v>5871.7</v>
      </c>
      <c r="J164" s="28">
        <f t="shared" si="0"/>
        <v>-13.09501999999975</v>
      </c>
    </row>
    <row r="165" spans="1:10" ht="53.25" hidden="1">
      <c r="A165" s="29"/>
      <c r="B165" s="104" t="s">
        <v>144</v>
      </c>
      <c r="C165" s="112" t="s">
        <v>74</v>
      </c>
      <c r="D165" s="112" t="s">
        <v>15</v>
      </c>
      <c r="E165" s="108">
        <v>0</v>
      </c>
      <c r="F165" s="78">
        <f>5179.09912</f>
        <v>5179.09912</v>
      </c>
      <c r="G165" s="26">
        <f t="shared" si="55"/>
        <v>5179.09912</v>
      </c>
      <c r="H165" s="78">
        <f>5179.09912</f>
        <v>5179.09912</v>
      </c>
      <c r="I165" s="66">
        <v>5178.8</v>
      </c>
      <c r="J165" s="28">
        <f t="shared" si="0"/>
        <v>-0.2991199999996752</v>
      </c>
    </row>
    <row r="166" spans="1:10" ht="53.25" hidden="1">
      <c r="A166" s="29"/>
      <c r="B166" s="104" t="s">
        <v>145</v>
      </c>
      <c r="C166" s="112" t="s">
        <v>74</v>
      </c>
      <c r="D166" s="112" t="s">
        <v>15</v>
      </c>
      <c r="E166" s="108">
        <v>0</v>
      </c>
      <c r="F166" s="78">
        <f>105.6959</f>
        <v>105.6959</v>
      </c>
      <c r="G166" s="26">
        <f t="shared" si="55"/>
        <v>105.6959</v>
      </c>
      <c r="H166" s="78">
        <f>105.6959</f>
        <v>105.6959</v>
      </c>
      <c r="I166" s="66">
        <v>105.7</v>
      </c>
      <c r="J166" s="28">
        <f t="shared" si="0"/>
        <v>0.004100000000008208</v>
      </c>
    </row>
    <row r="167" spans="1:10" ht="60" customHeight="1" hidden="1">
      <c r="A167" s="29"/>
      <c r="B167" s="104" t="s">
        <v>146</v>
      </c>
      <c r="C167" s="112" t="s">
        <v>74</v>
      </c>
      <c r="D167" s="112" t="s">
        <v>15</v>
      </c>
      <c r="E167" s="108">
        <v>0</v>
      </c>
      <c r="F167" s="78">
        <f>600</f>
        <v>600</v>
      </c>
      <c r="G167" s="26">
        <f t="shared" si="55"/>
        <v>600</v>
      </c>
      <c r="H167" s="78">
        <f>600</f>
        <v>600</v>
      </c>
      <c r="I167" s="66">
        <v>587.2</v>
      </c>
      <c r="J167" s="81">
        <f t="shared" si="0"/>
        <v>-12.799999999999955</v>
      </c>
    </row>
    <row r="168" spans="1:10" ht="27.75" hidden="1">
      <c r="A168" s="29"/>
      <c r="B168" s="104" t="s">
        <v>147</v>
      </c>
      <c r="C168" s="112" t="s">
        <v>74</v>
      </c>
      <c r="D168" s="112" t="s">
        <v>15</v>
      </c>
      <c r="E168" s="108">
        <f>E169</f>
        <v>100</v>
      </c>
      <c r="F168" s="65">
        <f>F169</f>
        <v>0</v>
      </c>
      <c r="G168" s="34">
        <f t="shared" si="55"/>
        <v>-100</v>
      </c>
      <c r="H168" s="65">
        <f>H169</f>
        <v>0</v>
      </c>
      <c r="I168" s="66">
        <f>I169</f>
        <v>0</v>
      </c>
      <c r="J168" s="28">
        <f t="shared" si="0"/>
        <v>0</v>
      </c>
    </row>
    <row r="169" spans="1:10" ht="27.75" hidden="1">
      <c r="A169" s="29"/>
      <c r="B169" s="104" t="s">
        <v>148</v>
      </c>
      <c r="C169" s="112" t="s">
        <v>74</v>
      </c>
      <c r="D169" s="112" t="s">
        <v>15</v>
      </c>
      <c r="E169" s="108">
        <v>100</v>
      </c>
      <c r="F169" s="65">
        <f>100-100</f>
        <v>0</v>
      </c>
      <c r="G169" s="34">
        <f t="shared" si="55"/>
        <v>-100</v>
      </c>
      <c r="H169" s="65">
        <f>100-100</f>
        <v>0</v>
      </c>
      <c r="I169" s="66">
        <f>100-100</f>
        <v>0</v>
      </c>
      <c r="J169" s="28">
        <f t="shared" si="0"/>
        <v>0</v>
      </c>
    </row>
    <row r="170" spans="1:10" ht="33.75" customHeight="1" hidden="1">
      <c r="A170" s="29"/>
      <c r="B170" s="104" t="s">
        <v>149</v>
      </c>
      <c r="C170" s="112" t="s">
        <v>74</v>
      </c>
      <c r="D170" s="112" t="s">
        <v>15</v>
      </c>
      <c r="E170" s="108">
        <f>E171</f>
        <v>500</v>
      </c>
      <c r="F170" s="65">
        <f>F171</f>
        <v>0</v>
      </c>
      <c r="G170" s="34">
        <f t="shared" si="55"/>
        <v>-500</v>
      </c>
      <c r="H170" s="65">
        <f>H171</f>
        <v>0</v>
      </c>
      <c r="I170" s="66">
        <f>I171</f>
        <v>0</v>
      </c>
      <c r="J170" s="28">
        <f t="shared" si="0"/>
        <v>0</v>
      </c>
    </row>
    <row r="171" spans="1:10" ht="27.75" hidden="1">
      <c r="A171" s="29"/>
      <c r="B171" s="104" t="s">
        <v>150</v>
      </c>
      <c r="C171" s="112" t="s">
        <v>74</v>
      </c>
      <c r="D171" s="112" t="s">
        <v>15</v>
      </c>
      <c r="E171" s="108">
        <v>500</v>
      </c>
      <c r="F171" s="65">
        <f>500-500</f>
        <v>0</v>
      </c>
      <c r="G171" s="34">
        <f t="shared" si="55"/>
        <v>-500</v>
      </c>
      <c r="H171" s="65">
        <f>500-500</f>
        <v>0</v>
      </c>
      <c r="I171" s="66">
        <f>500-500</f>
        <v>0</v>
      </c>
      <c r="J171" s="28">
        <f t="shared" si="0"/>
        <v>0</v>
      </c>
    </row>
    <row r="172" spans="1:10" ht="35.25" customHeight="1" hidden="1">
      <c r="A172" s="29"/>
      <c r="B172" s="104" t="s">
        <v>151</v>
      </c>
      <c r="C172" s="112" t="s">
        <v>74</v>
      </c>
      <c r="D172" s="112" t="s">
        <v>15</v>
      </c>
      <c r="E172" s="108">
        <f>E173</f>
        <v>100</v>
      </c>
      <c r="F172" s="65">
        <f>F173</f>
        <v>0</v>
      </c>
      <c r="G172" s="34">
        <f t="shared" si="55"/>
        <v>-100</v>
      </c>
      <c r="H172" s="65">
        <f>H173</f>
        <v>0</v>
      </c>
      <c r="I172" s="66">
        <f>I173</f>
        <v>0</v>
      </c>
      <c r="J172" s="28">
        <f t="shared" si="0"/>
        <v>0</v>
      </c>
    </row>
    <row r="173" spans="1:10" ht="36.75" customHeight="1" hidden="1">
      <c r="A173" s="29"/>
      <c r="B173" s="104" t="s">
        <v>152</v>
      </c>
      <c r="C173" s="112" t="s">
        <v>74</v>
      </c>
      <c r="D173" s="112" t="s">
        <v>15</v>
      </c>
      <c r="E173" s="108">
        <v>100</v>
      </c>
      <c r="F173" s="65">
        <f>100-100</f>
        <v>0</v>
      </c>
      <c r="G173" s="34">
        <f t="shared" si="55"/>
        <v>-100</v>
      </c>
      <c r="H173" s="65">
        <f>100-100</f>
        <v>0</v>
      </c>
      <c r="I173" s="66">
        <f>100-100</f>
        <v>0</v>
      </c>
      <c r="J173" s="28">
        <f t="shared" si="0"/>
        <v>0</v>
      </c>
    </row>
    <row r="174" spans="1:10" ht="36.75" customHeight="1" hidden="1">
      <c r="A174" s="29"/>
      <c r="B174" s="104" t="s">
        <v>153</v>
      </c>
      <c r="C174" s="112" t="s">
        <v>74</v>
      </c>
      <c r="D174" s="112" t="s">
        <v>15</v>
      </c>
      <c r="E174" s="108">
        <f>E175</f>
        <v>0</v>
      </c>
      <c r="F174" s="65">
        <f>F175</f>
        <v>474.8</v>
      </c>
      <c r="G174" s="34">
        <f t="shared" si="55"/>
        <v>474.8</v>
      </c>
      <c r="H174" s="78">
        <f>H175</f>
        <v>143.05298</v>
      </c>
      <c r="I174" s="66">
        <f>I175</f>
        <v>121.8</v>
      </c>
      <c r="J174" s="28">
        <f t="shared" si="0"/>
        <v>-21.252979999999994</v>
      </c>
    </row>
    <row r="175" spans="1:10" ht="57" customHeight="1" hidden="1">
      <c r="A175" s="29"/>
      <c r="B175" s="104" t="s">
        <v>154</v>
      </c>
      <c r="C175" s="112" t="s">
        <v>74</v>
      </c>
      <c r="D175" s="112" t="s">
        <v>15</v>
      </c>
      <c r="E175" s="108">
        <v>0</v>
      </c>
      <c r="F175" s="65">
        <f>100+252.8+122</f>
        <v>474.8</v>
      </c>
      <c r="G175" s="34">
        <f t="shared" si="55"/>
        <v>474.8</v>
      </c>
      <c r="H175" s="78">
        <f>100+252.8+122-331.74702</f>
        <v>143.05298</v>
      </c>
      <c r="I175" s="66">
        <v>121.8</v>
      </c>
      <c r="J175" s="81">
        <f t="shared" si="0"/>
        <v>-21.252979999999994</v>
      </c>
    </row>
    <row r="176" spans="1:10" ht="45" customHeight="1" hidden="1">
      <c r="A176" s="29"/>
      <c r="B176" s="104" t="s">
        <v>155</v>
      </c>
      <c r="C176" s="112" t="s">
        <v>74</v>
      </c>
      <c r="D176" s="112" t="s">
        <v>15</v>
      </c>
      <c r="E176" s="64">
        <f aca="true" t="shared" si="56" ref="E176:E177">E177</f>
        <v>1520</v>
      </c>
      <c r="F176" s="78">
        <f aca="true" t="shared" si="57" ref="F176:F177">F177</f>
        <v>1520</v>
      </c>
      <c r="G176" s="26">
        <f t="shared" si="55"/>
        <v>0</v>
      </c>
      <c r="H176" s="78">
        <f aca="true" t="shared" si="58" ref="H176:H177">H177</f>
        <v>1820</v>
      </c>
      <c r="I176" s="66">
        <f aca="true" t="shared" si="59" ref="I176:I177">I177</f>
        <v>1657.7</v>
      </c>
      <c r="J176" s="28">
        <f t="shared" si="0"/>
        <v>-162.29999999999995</v>
      </c>
    </row>
    <row r="177" spans="1:10" ht="30.75" customHeight="1" hidden="1">
      <c r="A177" s="29"/>
      <c r="B177" s="104" t="s">
        <v>156</v>
      </c>
      <c r="C177" s="112" t="s">
        <v>74</v>
      </c>
      <c r="D177" s="112" t="s">
        <v>15</v>
      </c>
      <c r="E177" s="64">
        <f t="shared" si="56"/>
        <v>1520</v>
      </c>
      <c r="F177" s="78">
        <f t="shared" si="57"/>
        <v>1520</v>
      </c>
      <c r="G177" s="26">
        <f t="shared" si="55"/>
        <v>0</v>
      </c>
      <c r="H177" s="78">
        <f t="shared" si="58"/>
        <v>1820</v>
      </c>
      <c r="I177" s="66">
        <f t="shared" si="59"/>
        <v>1657.7</v>
      </c>
      <c r="J177" s="28">
        <f t="shared" si="0"/>
        <v>-162.29999999999995</v>
      </c>
    </row>
    <row r="178" spans="1:10" ht="33" customHeight="1" hidden="1">
      <c r="A178" s="29"/>
      <c r="B178" s="95" t="s">
        <v>157</v>
      </c>
      <c r="C178" s="112" t="s">
        <v>74</v>
      </c>
      <c r="D178" s="112" t="s">
        <v>15</v>
      </c>
      <c r="E178" s="108">
        <v>1520</v>
      </c>
      <c r="F178" s="78">
        <f>1520-893.45707-2.37759+895.83466</f>
        <v>1520</v>
      </c>
      <c r="G178" s="26">
        <f t="shared" si="55"/>
        <v>0</v>
      </c>
      <c r="H178" s="78">
        <f>1520-893.45707-2.37759+895.83466+300</f>
        <v>1820</v>
      </c>
      <c r="I178" s="66">
        <v>1657.7</v>
      </c>
      <c r="J178" s="81">
        <f t="shared" si="0"/>
        <v>-162.29999999999995</v>
      </c>
    </row>
    <row r="179" spans="1:10" ht="30.75" customHeight="1">
      <c r="A179" s="29"/>
      <c r="B179" s="57" t="s">
        <v>158</v>
      </c>
      <c r="C179" s="59" t="s">
        <v>74</v>
      </c>
      <c r="D179" s="59" t="s">
        <v>74</v>
      </c>
      <c r="E179" s="60">
        <f>E180</f>
        <v>1767.3</v>
      </c>
      <c r="F179" s="115">
        <f>F180</f>
        <v>1767.3</v>
      </c>
      <c r="G179" s="34">
        <f t="shared" si="55"/>
        <v>0</v>
      </c>
      <c r="H179" s="115">
        <f>H180</f>
        <v>1767.3</v>
      </c>
      <c r="I179" s="62">
        <f>I180</f>
        <v>1784.9</v>
      </c>
      <c r="J179" s="28">
        <f t="shared" si="0"/>
        <v>17.600000000000136</v>
      </c>
    </row>
    <row r="180" spans="1:10" ht="69.75" customHeight="1" hidden="1">
      <c r="A180" s="29"/>
      <c r="B180" s="57" t="s">
        <v>39</v>
      </c>
      <c r="C180" s="45" t="s">
        <v>74</v>
      </c>
      <c r="D180" s="45" t="s">
        <v>74</v>
      </c>
      <c r="E180" s="46">
        <f>E182</f>
        <v>1767.3</v>
      </c>
      <c r="F180" s="51">
        <f>F182</f>
        <v>1767.3</v>
      </c>
      <c r="G180" s="34">
        <f t="shared" si="55"/>
        <v>0</v>
      </c>
      <c r="H180" s="51">
        <f>H182</f>
        <v>1767.3</v>
      </c>
      <c r="I180" s="48">
        <f>I182</f>
        <v>1784.9</v>
      </c>
      <c r="J180" s="28">
        <f t="shared" si="0"/>
        <v>17.600000000000136</v>
      </c>
    </row>
    <row r="181" spans="1:10" ht="33.75" customHeight="1" hidden="1">
      <c r="A181" s="29"/>
      <c r="B181" s="40" t="s">
        <v>103</v>
      </c>
      <c r="C181" s="45" t="s">
        <v>74</v>
      </c>
      <c r="D181" s="45" t="s">
        <v>74</v>
      </c>
      <c r="E181" s="46">
        <f>E182</f>
        <v>1767.3</v>
      </c>
      <c r="F181" s="51">
        <f>F182</f>
        <v>1767.3</v>
      </c>
      <c r="G181" s="34">
        <f t="shared" si="55"/>
        <v>0</v>
      </c>
      <c r="H181" s="51">
        <f>H182</f>
        <v>1767.3</v>
      </c>
      <c r="I181" s="48">
        <f>I182</f>
        <v>1784.9</v>
      </c>
      <c r="J181" s="28">
        <f t="shared" si="0"/>
        <v>17.600000000000136</v>
      </c>
    </row>
    <row r="182" spans="1:10" ht="94.5" customHeight="1" hidden="1">
      <c r="A182" s="29"/>
      <c r="B182" s="40" t="s">
        <v>41</v>
      </c>
      <c r="C182" s="45" t="s">
        <v>74</v>
      </c>
      <c r="D182" s="45" t="s">
        <v>74</v>
      </c>
      <c r="E182" s="50">
        <v>1767.3</v>
      </c>
      <c r="F182" s="51">
        <v>1767.3</v>
      </c>
      <c r="G182" s="34">
        <f t="shared" si="55"/>
        <v>0</v>
      </c>
      <c r="H182" s="51">
        <v>1767.3</v>
      </c>
      <c r="I182" s="48">
        <v>1784.9</v>
      </c>
      <c r="J182" s="28">
        <f t="shared" si="0"/>
        <v>17.600000000000136</v>
      </c>
    </row>
    <row r="183" spans="1:10" ht="15" customHeight="1">
      <c r="A183" s="29"/>
      <c r="B183" s="116" t="s">
        <v>159</v>
      </c>
      <c r="C183" s="59" t="s">
        <v>160</v>
      </c>
      <c r="D183" s="45"/>
      <c r="E183" s="60">
        <f aca="true" t="shared" si="60" ref="E183:E186">E184</f>
        <v>100</v>
      </c>
      <c r="F183" s="61">
        <f aca="true" t="shared" si="61" ref="F183:F186">F184</f>
        <v>100</v>
      </c>
      <c r="G183" s="34">
        <f t="shared" si="55"/>
        <v>0</v>
      </c>
      <c r="H183" s="61">
        <f aca="true" t="shared" si="62" ref="H183:H186">H184</f>
        <v>100</v>
      </c>
      <c r="I183" s="62">
        <f aca="true" t="shared" si="63" ref="I183:I186">I184</f>
        <v>60</v>
      </c>
      <c r="J183" s="28">
        <f t="shared" si="0"/>
        <v>-40</v>
      </c>
    </row>
    <row r="184" spans="1:10" ht="21.75" customHeight="1">
      <c r="A184" s="29"/>
      <c r="B184" s="40" t="s">
        <v>161</v>
      </c>
      <c r="C184" s="117" t="s">
        <v>160</v>
      </c>
      <c r="D184" s="117" t="s">
        <v>74</v>
      </c>
      <c r="E184" s="46">
        <f t="shared" si="60"/>
        <v>100</v>
      </c>
      <c r="F184" s="51">
        <f t="shared" si="61"/>
        <v>100</v>
      </c>
      <c r="G184" s="34">
        <f t="shared" si="55"/>
        <v>0</v>
      </c>
      <c r="H184" s="51">
        <f t="shared" si="62"/>
        <v>100</v>
      </c>
      <c r="I184" s="48">
        <f t="shared" si="63"/>
        <v>60</v>
      </c>
      <c r="J184" s="28">
        <f t="shared" si="0"/>
        <v>-40</v>
      </c>
    </row>
    <row r="185" spans="1:10" ht="56.25" customHeight="1" hidden="1">
      <c r="A185" s="29"/>
      <c r="B185" s="57" t="s">
        <v>75</v>
      </c>
      <c r="C185" s="117" t="s">
        <v>160</v>
      </c>
      <c r="D185" s="117" t="s">
        <v>74</v>
      </c>
      <c r="E185" s="87">
        <f t="shared" si="60"/>
        <v>100</v>
      </c>
      <c r="F185" s="99">
        <f t="shared" si="61"/>
        <v>100</v>
      </c>
      <c r="G185" s="34">
        <f t="shared" si="55"/>
        <v>0</v>
      </c>
      <c r="H185" s="99">
        <f t="shared" si="62"/>
        <v>100</v>
      </c>
      <c r="I185" s="89">
        <f t="shared" si="63"/>
        <v>60</v>
      </c>
      <c r="J185" s="118">
        <f t="shared" si="0"/>
        <v>-40</v>
      </c>
    </row>
    <row r="186" spans="1:10" ht="30.75" customHeight="1" hidden="1">
      <c r="A186" s="29"/>
      <c r="B186" s="40" t="s">
        <v>162</v>
      </c>
      <c r="C186" s="45" t="s">
        <v>160</v>
      </c>
      <c r="D186" s="45" t="s">
        <v>74</v>
      </c>
      <c r="E186" s="46">
        <f t="shared" si="60"/>
        <v>100</v>
      </c>
      <c r="F186" s="51">
        <f t="shared" si="61"/>
        <v>100</v>
      </c>
      <c r="G186" s="34">
        <f t="shared" si="55"/>
        <v>0</v>
      </c>
      <c r="H186" s="51">
        <f t="shared" si="62"/>
        <v>100</v>
      </c>
      <c r="I186" s="48">
        <f t="shared" si="63"/>
        <v>60</v>
      </c>
      <c r="J186" s="28">
        <f t="shared" si="0"/>
        <v>-40</v>
      </c>
    </row>
    <row r="187" spans="1:10" ht="32.25" customHeight="1" hidden="1">
      <c r="A187" s="29"/>
      <c r="B187" s="40" t="s">
        <v>163</v>
      </c>
      <c r="C187" s="45" t="s">
        <v>160</v>
      </c>
      <c r="D187" s="45" t="s">
        <v>74</v>
      </c>
      <c r="E187" s="50">
        <v>100</v>
      </c>
      <c r="F187" s="51">
        <v>100</v>
      </c>
      <c r="G187" s="34">
        <f t="shared" si="55"/>
        <v>0</v>
      </c>
      <c r="H187" s="51">
        <v>100</v>
      </c>
      <c r="I187" s="48">
        <f>100-40</f>
        <v>60</v>
      </c>
      <c r="J187" s="81">
        <f t="shared" si="0"/>
        <v>-40</v>
      </c>
    </row>
    <row r="188" spans="1:10" ht="16.5">
      <c r="A188" s="29"/>
      <c r="B188" s="30" t="s">
        <v>164</v>
      </c>
      <c r="C188" s="59" t="s">
        <v>165</v>
      </c>
      <c r="D188" s="59"/>
      <c r="E188" s="60">
        <f>E189</f>
        <v>18674.87</v>
      </c>
      <c r="F188" s="115">
        <f>F189</f>
        <v>18674.87</v>
      </c>
      <c r="G188" s="34">
        <f t="shared" si="55"/>
        <v>0</v>
      </c>
      <c r="H188" s="115">
        <f>H189</f>
        <v>18674.87</v>
      </c>
      <c r="I188" s="62">
        <f>I189</f>
        <v>17858.3695</v>
      </c>
      <c r="J188" s="28">
        <f t="shared" si="0"/>
        <v>-816.5004999999983</v>
      </c>
    </row>
    <row r="189" spans="1:10" ht="16.5">
      <c r="A189" s="29"/>
      <c r="B189" s="57" t="s">
        <v>166</v>
      </c>
      <c r="C189" s="59" t="s">
        <v>165</v>
      </c>
      <c r="D189" s="59" t="s">
        <v>13</v>
      </c>
      <c r="E189" s="60">
        <f>E193+E206+E190+E196+E202</f>
        <v>18674.87</v>
      </c>
      <c r="F189" s="115">
        <f>F193+F206+F190+F196+F202</f>
        <v>18674.87</v>
      </c>
      <c r="G189" s="34">
        <f t="shared" si="55"/>
        <v>0</v>
      </c>
      <c r="H189" s="115">
        <f>H193+H206+H190+H196+H202</f>
        <v>18674.87</v>
      </c>
      <c r="I189" s="62">
        <f>I193+I206+I190+I196+I202</f>
        <v>17858.3695</v>
      </c>
      <c r="J189" s="28">
        <f t="shared" si="0"/>
        <v>-816.5004999999983</v>
      </c>
    </row>
    <row r="190" spans="1:10" ht="59.25" customHeight="1" hidden="1">
      <c r="A190" s="29"/>
      <c r="B190" s="119" t="s">
        <v>167</v>
      </c>
      <c r="C190" s="120" t="s">
        <v>165</v>
      </c>
      <c r="D190" s="45" t="s">
        <v>13</v>
      </c>
      <c r="E190" s="50">
        <f aca="true" t="shared" si="64" ref="E190:E191">E191</f>
        <v>94.5</v>
      </c>
      <c r="F190" s="51">
        <f aca="true" t="shared" si="65" ref="F190:F191">F191</f>
        <v>94.5</v>
      </c>
      <c r="G190" s="34">
        <f t="shared" si="55"/>
        <v>0</v>
      </c>
      <c r="H190" s="51">
        <f aca="true" t="shared" si="66" ref="H190:H191">H191</f>
        <v>94.5</v>
      </c>
      <c r="I190" s="48">
        <f aca="true" t="shared" si="67" ref="I190:I191">I191</f>
        <v>94.5</v>
      </c>
      <c r="J190" s="28">
        <f t="shared" si="0"/>
        <v>0</v>
      </c>
    </row>
    <row r="191" spans="1:10" ht="30.75" customHeight="1" hidden="1">
      <c r="A191" s="29"/>
      <c r="B191" s="119" t="s">
        <v>168</v>
      </c>
      <c r="C191" s="120" t="s">
        <v>165</v>
      </c>
      <c r="D191" s="45" t="s">
        <v>13</v>
      </c>
      <c r="E191" s="50">
        <f t="shared" si="64"/>
        <v>94.5</v>
      </c>
      <c r="F191" s="51">
        <f t="shared" si="65"/>
        <v>94.5</v>
      </c>
      <c r="G191" s="34">
        <f t="shared" si="55"/>
        <v>0</v>
      </c>
      <c r="H191" s="51">
        <f t="shared" si="66"/>
        <v>94.5</v>
      </c>
      <c r="I191" s="48">
        <f t="shared" si="67"/>
        <v>94.5</v>
      </c>
      <c r="J191" s="28">
        <f t="shared" si="0"/>
        <v>0</v>
      </c>
    </row>
    <row r="192" spans="1:10" ht="47.25" customHeight="1" hidden="1">
      <c r="A192" s="29"/>
      <c r="B192" s="119" t="s">
        <v>169</v>
      </c>
      <c r="C192" s="120" t="s">
        <v>165</v>
      </c>
      <c r="D192" s="45" t="s">
        <v>13</v>
      </c>
      <c r="E192" s="50">
        <v>94.5</v>
      </c>
      <c r="F192" s="51">
        <v>94.5</v>
      </c>
      <c r="G192" s="34">
        <f t="shared" si="55"/>
        <v>0</v>
      </c>
      <c r="H192" s="51">
        <v>94.5</v>
      </c>
      <c r="I192" s="48">
        <v>94.5</v>
      </c>
      <c r="J192" s="28">
        <f t="shared" si="0"/>
        <v>0</v>
      </c>
    </row>
    <row r="193" spans="1:10" ht="66.75" customHeight="1" hidden="1">
      <c r="A193" s="29"/>
      <c r="B193" s="57" t="s">
        <v>39</v>
      </c>
      <c r="C193" s="45" t="s">
        <v>165</v>
      </c>
      <c r="D193" s="45" t="s">
        <v>13</v>
      </c>
      <c r="E193" s="46">
        <f aca="true" t="shared" si="68" ref="E193:E194">E194</f>
        <v>2525.5</v>
      </c>
      <c r="F193" s="51">
        <f aca="true" t="shared" si="69" ref="F193:F194">F194</f>
        <v>2525.5</v>
      </c>
      <c r="G193" s="34">
        <f t="shared" si="55"/>
        <v>0</v>
      </c>
      <c r="H193" s="51">
        <f aca="true" t="shared" si="70" ref="H193:H194">H194</f>
        <v>2525.5</v>
      </c>
      <c r="I193" s="48">
        <f aca="true" t="shared" si="71" ref="I193:I194">I194</f>
        <v>2101.1</v>
      </c>
      <c r="J193" s="28">
        <f t="shared" si="0"/>
        <v>-424.4000000000001</v>
      </c>
    </row>
    <row r="194" spans="1:10" ht="30.75" customHeight="1" hidden="1">
      <c r="A194" s="29"/>
      <c r="B194" s="40" t="s">
        <v>103</v>
      </c>
      <c r="C194" s="45" t="s">
        <v>165</v>
      </c>
      <c r="D194" s="45" t="s">
        <v>13</v>
      </c>
      <c r="E194" s="46">
        <f t="shared" si="68"/>
        <v>2525.5</v>
      </c>
      <c r="F194" s="51">
        <f t="shared" si="69"/>
        <v>2525.5</v>
      </c>
      <c r="G194" s="34">
        <f t="shared" si="55"/>
        <v>0</v>
      </c>
      <c r="H194" s="51">
        <f t="shared" si="70"/>
        <v>2525.5</v>
      </c>
      <c r="I194" s="48">
        <f t="shared" si="71"/>
        <v>2101.1</v>
      </c>
      <c r="J194" s="28">
        <f t="shared" si="0"/>
        <v>-424.4000000000001</v>
      </c>
    </row>
    <row r="195" spans="1:10" ht="96" customHeight="1" hidden="1">
      <c r="A195" s="29"/>
      <c r="B195" s="40" t="s">
        <v>41</v>
      </c>
      <c r="C195" s="45" t="s">
        <v>165</v>
      </c>
      <c r="D195" s="45" t="s">
        <v>13</v>
      </c>
      <c r="E195" s="50">
        <v>2525.5</v>
      </c>
      <c r="F195" s="51">
        <v>2525.5</v>
      </c>
      <c r="G195" s="34">
        <f t="shared" si="55"/>
        <v>0</v>
      </c>
      <c r="H195" s="51">
        <v>2525.5</v>
      </c>
      <c r="I195" s="48">
        <f>2525.5-126.3-28.1-200-70</f>
        <v>2101.1</v>
      </c>
      <c r="J195" s="28">
        <f t="shared" si="0"/>
        <v>-424.4000000000001</v>
      </c>
    </row>
    <row r="196" spans="1:10" ht="59.25" customHeight="1" hidden="1">
      <c r="A196" s="29"/>
      <c r="B196" s="71" t="s">
        <v>170</v>
      </c>
      <c r="C196" s="120" t="s">
        <v>165</v>
      </c>
      <c r="D196" s="45" t="s">
        <v>13</v>
      </c>
      <c r="E196" s="50">
        <f>E197</f>
        <v>5039.7</v>
      </c>
      <c r="F196" s="51">
        <f>F197</f>
        <v>5427.5</v>
      </c>
      <c r="G196" s="34">
        <f t="shared" si="55"/>
        <v>387.8000000000002</v>
      </c>
      <c r="H196" s="51">
        <f>H197</f>
        <v>5427.5</v>
      </c>
      <c r="I196" s="48">
        <f>I197</f>
        <v>5434.341350000001</v>
      </c>
      <c r="J196" s="28">
        <f t="shared" si="0"/>
        <v>6.8413500000006024</v>
      </c>
    </row>
    <row r="197" spans="1:10" ht="32.25" customHeight="1" hidden="1">
      <c r="A197" s="29"/>
      <c r="B197" s="71" t="s">
        <v>171</v>
      </c>
      <c r="C197" s="120" t="s">
        <v>165</v>
      </c>
      <c r="D197" s="45" t="s">
        <v>13</v>
      </c>
      <c r="E197" s="50">
        <f>E198+E199</f>
        <v>5039.7</v>
      </c>
      <c r="F197" s="51">
        <f>F198+F199</f>
        <v>5427.5</v>
      </c>
      <c r="G197" s="34">
        <f t="shared" si="55"/>
        <v>387.8000000000002</v>
      </c>
      <c r="H197" s="51">
        <f>H198+H199+H200</f>
        <v>5427.5</v>
      </c>
      <c r="I197" s="48">
        <f>I198+I199+I200+I201</f>
        <v>5434.341350000001</v>
      </c>
      <c r="J197" s="28">
        <f t="shared" si="0"/>
        <v>6.8413500000006024</v>
      </c>
    </row>
    <row r="198" spans="1:10" ht="75" customHeight="1" hidden="1">
      <c r="A198" s="29"/>
      <c r="B198" s="57" t="s">
        <v>172</v>
      </c>
      <c r="C198" s="120" t="s">
        <v>165</v>
      </c>
      <c r="D198" s="45" t="s">
        <v>13</v>
      </c>
      <c r="E198" s="50">
        <v>4774</v>
      </c>
      <c r="F198" s="51">
        <v>4774</v>
      </c>
      <c r="G198" s="34">
        <f t="shared" si="55"/>
        <v>0</v>
      </c>
      <c r="H198" s="51">
        <f>4774-4774</f>
        <v>0</v>
      </c>
      <c r="I198" s="48">
        <f>4774-4774</f>
        <v>0</v>
      </c>
      <c r="J198" s="28">
        <f t="shared" si="0"/>
        <v>0</v>
      </c>
    </row>
    <row r="199" spans="1:10" ht="70.5" customHeight="1" hidden="1">
      <c r="A199" s="29"/>
      <c r="B199" s="57" t="s">
        <v>173</v>
      </c>
      <c r="C199" s="120" t="s">
        <v>165</v>
      </c>
      <c r="D199" s="45" t="s">
        <v>13</v>
      </c>
      <c r="E199" s="50">
        <v>265.7</v>
      </c>
      <c r="F199" s="51">
        <f>265.7+274+113.8</f>
        <v>653.5</v>
      </c>
      <c r="G199" s="34">
        <f t="shared" si="55"/>
        <v>387.8</v>
      </c>
      <c r="H199" s="51">
        <f>265.7+274+113.8-653.5</f>
        <v>0</v>
      </c>
      <c r="I199" s="48">
        <f>265.7+274+113.8-653.5+120.68435</f>
        <v>120.68435</v>
      </c>
      <c r="J199" s="28">
        <f t="shared" si="0"/>
        <v>120.68435</v>
      </c>
    </row>
    <row r="200" spans="1:10" ht="73.5" customHeight="1" hidden="1">
      <c r="A200" s="29"/>
      <c r="B200" s="57" t="s">
        <v>174</v>
      </c>
      <c r="C200" s="120" t="s">
        <v>165</v>
      </c>
      <c r="D200" s="45" t="s">
        <v>13</v>
      </c>
      <c r="E200" s="50"/>
      <c r="F200" s="51"/>
      <c r="G200" s="34"/>
      <c r="H200" s="51">
        <f>4774+653.5</f>
        <v>5427.5</v>
      </c>
      <c r="I200" s="48">
        <f>4774+653.5-5313.7-113.8</f>
        <v>0</v>
      </c>
      <c r="J200" s="28">
        <f t="shared" si="0"/>
        <v>-5427.5</v>
      </c>
    </row>
    <row r="201" spans="1:10" ht="72.75" customHeight="1" hidden="1">
      <c r="A201" s="29"/>
      <c r="B201" s="57" t="s">
        <v>174</v>
      </c>
      <c r="C201" s="45" t="s">
        <v>165</v>
      </c>
      <c r="D201" s="45" t="s">
        <v>13</v>
      </c>
      <c r="E201" s="50"/>
      <c r="F201" s="51"/>
      <c r="G201" s="34"/>
      <c r="H201" s="51"/>
      <c r="I201" s="48">
        <f>5313.7-0.043</f>
        <v>5313.657</v>
      </c>
      <c r="J201" s="28">
        <f t="shared" si="0"/>
        <v>5313.657</v>
      </c>
    </row>
    <row r="202" spans="1:10" ht="55.5" customHeight="1" hidden="1">
      <c r="A202" s="29"/>
      <c r="B202" s="57" t="s">
        <v>175</v>
      </c>
      <c r="C202" s="45" t="s">
        <v>165</v>
      </c>
      <c r="D202" s="45" t="s">
        <v>13</v>
      </c>
      <c r="E202" s="50">
        <f aca="true" t="shared" si="72" ref="E202:E203">E203</f>
        <v>214.6</v>
      </c>
      <c r="F202" s="51">
        <f aca="true" t="shared" si="73" ref="F202:F203">F203</f>
        <v>214.6</v>
      </c>
      <c r="G202" s="34">
        <f aca="true" t="shared" si="74" ref="G202:G204">F202-E202</f>
        <v>0</v>
      </c>
      <c r="H202" s="51">
        <f aca="true" t="shared" si="75" ref="H202:H203">H203</f>
        <v>214.6</v>
      </c>
      <c r="I202" s="48">
        <f aca="true" t="shared" si="76" ref="I202:I203">I203</f>
        <v>174.60814999999997</v>
      </c>
      <c r="J202" s="28">
        <f t="shared" si="0"/>
        <v>-39.99185000000003</v>
      </c>
    </row>
    <row r="203" spans="1:10" ht="32.25" customHeight="1" hidden="1">
      <c r="A203" s="29"/>
      <c r="B203" s="57" t="s">
        <v>176</v>
      </c>
      <c r="C203" s="45" t="s">
        <v>165</v>
      </c>
      <c r="D203" s="45" t="s">
        <v>13</v>
      </c>
      <c r="E203" s="50">
        <f t="shared" si="72"/>
        <v>214.6</v>
      </c>
      <c r="F203" s="51">
        <f t="shared" si="73"/>
        <v>214.6</v>
      </c>
      <c r="G203" s="34">
        <f t="shared" si="74"/>
        <v>0</v>
      </c>
      <c r="H203" s="51">
        <f t="shared" si="75"/>
        <v>214.6</v>
      </c>
      <c r="I203" s="48">
        <f t="shared" si="76"/>
        <v>174.60814999999997</v>
      </c>
      <c r="J203" s="28">
        <f t="shared" si="0"/>
        <v>-39.99185000000003</v>
      </c>
    </row>
    <row r="204" spans="1:10" ht="68.25" customHeight="1" hidden="1">
      <c r="A204" s="29"/>
      <c r="B204" s="57" t="s">
        <v>177</v>
      </c>
      <c r="C204" s="45" t="s">
        <v>165</v>
      </c>
      <c r="D204" s="45" t="s">
        <v>13</v>
      </c>
      <c r="E204" s="50">
        <f>40+174.6</f>
        <v>214.6</v>
      </c>
      <c r="F204" s="51">
        <f>40+174.6</f>
        <v>214.6</v>
      </c>
      <c r="G204" s="34">
        <f t="shared" si="74"/>
        <v>0</v>
      </c>
      <c r="H204" s="51">
        <f>40+174.6</f>
        <v>214.6</v>
      </c>
      <c r="I204" s="48">
        <f>40+174.6-6.88435-33.1075</f>
        <v>174.60814999999997</v>
      </c>
      <c r="J204" s="28">
        <f t="shared" si="0"/>
        <v>-39.99185000000003</v>
      </c>
    </row>
    <row r="205" spans="1:10" ht="80.25" customHeight="1" hidden="1">
      <c r="A205" s="29"/>
      <c r="B205" s="57"/>
      <c r="C205" s="45"/>
      <c r="D205" s="45"/>
      <c r="E205" s="50"/>
      <c r="F205" s="51"/>
      <c r="G205" s="34"/>
      <c r="H205" s="51"/>
      <c r="I205" s="48"/>
      <c r="J205" s="28"/>
    </row>
    <row r="206" spans="1:10" ht="16.5" hidden="1">
      <c r="A206" s="29"/>
      <c r="B206" s="121" t="s">
        <v>16</v>
      </c>
      <c r="C206" s="72" t="s">
        <v>165</v>
      </c>
      <c r="D206" s="72" t="s">
        <v>13</v>
      </c>
      <c r="E206" s="73">
        <f>E207</f>
        <v>10800.57</v>
      </c>
      <c r="F206" s="74">
        <f>F207</f>
        <v>10412.77</v>
      </c>
      <c r="G206" s="34">
        <f aca="true" t="shared" si="77" ref="G206:G211">F206-E206</f>
        <v>-387.7999999999993</v>
      </c>
      <c r="H206" s="74">
        <f>H207</f>
        <v>10412.77</v>
      </c>
      <c r="I206" s="75">
        <f>I207</f>
        <v>10053.82</v>
      </c>
      <c r="J206" s="28">
        <f aca="true" t="shared" si="78" ref="J206:J258">I206-H206</f>
        <v>-358.9500000000007</v>
      </c>
    </row>
    <row r="207" spans="1:10" ht="16.5" hidden="1">
      <c r="A207" s="29"/>
      <c r="B207" s="122" t="s">
        <v>17</v>
      </c>
      <c r="C207" s="45" t="s">
        <v>165</v>
      </c>
      <c r="D207" s="45" t="s">
        <v>13</v>
      </c>
      <c r="E207" s="46">
        <f>SUM(E208:E211)</f>
        <v>10800.57</v>
      </c>
      <c r="F207" s="51">
        <f>SUM(F208:F211)</f>
        <v>10412.77</v>
      </c>
      <c r="G207" s="34">
        <f t="shared" si="77"/>
        <v>-387.7999999999993</v>
      </c>
      <c r="H207" s="51">
        <f>SUM(H208:H212)</f>
        <v>10412.77</v>
      </c>
      <c r="I207" s="48">
        <f>SUM(I208:I212)</f>
        <v>10053.82</v>
      </c>
      <c r="J207" s="28">
        <f t="shared" si="78"/>
        <v>-358.9500000000007</v>
      </c>
    </row>
    <row r="208" spans="1:10" ht="70.5" customHeight="1" hidden="1">
      <c r="A208" s="29"/>
      <c r="B208" s="40" t="s">
        <v>178</v>
      </c>
      <c r="C208" s="45" t="s">
        <v>165</v>
      </c>
      <c r="D208" s="45" t="s">
        <v>13</v>
      </c>
      <c r="E208" s="50">
        <f>6040.13+0.02</f>
        <v>6040.150000000001</v>
      </c>
      <c r="F208" s="51">
        <f>6040.13+0.02-274-113.8</f>
        <v>5652.35</v>
      </c>
      <c r="G208" s="34">
        <f t="shared" si="77"/>
        <v>-387.8000000000002</v>
      </c>
      <c r="H208" s="51">
        <f>6040.13+0.02-274-113.8</f>
        <v>5652.35</v>
      </c>
      <c r="I208" s="48">
        <v>5383.4</v>
      </c>
      <c r="J208" s="28">
        <f t="shared" si="78"/>
        <v>-268.9500000000007</v>
      </c>
    </row>
    <row r="209" spans="1:10" ht="68.25" customHeight="1" hidden="1">
      <c r="A209" s="29"/>
      <c r="B209" s="35" t="s">
        <v>179</v>
      </c>
      <c r="C209" s="45" t="s">
        <v>165</v>
      </c>
      <c r="D209" s="45" t="s">
        <v>13</v>
      </c>
      <c r="E209" s="50">
        <v>1619.72</v>
      </c>
      <c r="F209" s="51">
        <v>1619.72</v>
      </c>
      <c r="G209" s="34">
        <f t="shared" si="77"/>
        <v>0</v>
      </c>
      <c r="H209" s="51">
        <v>1619.72</v>
      </c>
      <c r="I209" s="48">
        <f>1619.72-90</f>
        <v>1529.72</v>
      </c>
      <c r="J209" s="28">
        <f t="shared" si="78"/>
        <v>-90</v>
      </c>
    </row>
    <row r="210" spans="1:10" ht="58.5" customHeight="1" hidden="1">
      <c r="A210" s="29"/>
      <c r="B210" s="57" t="s">
        <v>180</v>
      </c>
      <c r="C210" s="45" t="s">
        <v>165</v>
      </c>
      <c r="D210" s="45" t="s">
        <v>13</v>
      </c>
      <c r="E210" s="46">
        <v>157</v>
      </c>
      <c r="F210" s="51">
        <v>157</v>
      </c>
      <c r="G210" s="34">
        <f t="shared" si="77"/>
        <v>0</v>
      </c>
      <c r="H210" s="51">
        <f>157-157</f>
        <v>0</v>
      </c>
      <c r="I210" s="48">
        <f>157-157</f>
        <v>0</v>
      </c>
      <c r="J210" s="28">
        <f t="shared" si="78"/>
        <v>0</v>
      </c>
    </row>
    <row r="211" spans="1:10" ht="64.5" customHeight="1" hidden="1">
      <c r="A211" s="29"/>
      <c r="B211" s="57" t="s">
        <v>181</v>
      </c>
      <c r="C211" s="45" t="s">
        <v>165</v>
      </c>
      <c r="D211" s="45" t="s">
        <v>13</v>
      </c>
      <c r="E211" s="50">
        <v>2983.7</v>
      </c>
      <c r="F211" s="51">
        <v>2983.7</v>
      </c>
      <c r="G211" s="34">
        <f t="shared" si="77"/>
        <v>0</v>
      </c>
      <c r="H211" s="51">
        <f>2983.7-2983.7</f>
        <v>0</v>
      </c>
      <c r="I211" s="48">
        <f>2983.7-2983.7</f>
        <v>0</v>
      </c>
      <c r="J211" s="28">
        <f t="shared" si="78"/>
        <v>0</v>
      </c>
    </row>
    <row r="212" spans="1:10" ht="64.5" customHeight="1" hidden="1">
      <c r="A212" s="29"/>
      <c r="B212" s="57" t="s">
        <v>181</v>
      </c>
      <c r="C212" s="45" t="s">
        <v>165</v>
      </c>
      <c r="D212" s="45" t="s">
        <v>13</v>
      </c>
      <c r="E212" s="50"/>
      <c r="F212" s="51"/>
      <c r="G212" s="34"/>
      <c r="H212" s="47">
        <f>2983.7+157</f>
        <v>3140.7</v>
      </c>
      <c r="I212" s="48">
        <f>2983.7+157</f>
        <v>3140.7</v>
      </c>
      <c r="J212" s="28">
        <f t="shared" si="78"/>
        <v>0</v>
      </c>
    </row>
    <row r="213" spans="1:10" ht="15" customHeight="1">
      <c r="A213" s="29"/>
      <c r="B213" s="30" t="s">
        <v>182</v>
      </c>
      <c r="C213" s="59" t="s">
        <v>183</v>
      </c>
      <c r="D213" s="59"/>
      <c r="E213" s="60" t="e">
        <f>E214+E218</f>
        <v>#REF!</v>
      </c>
      <c r="F213" s="69">
        <f>F218+F238+F214</f>
        <v>54097.03856</v>
      </c>
      <c r="G213" s="26" t="e">
        <f aca="true" t="shared" si="79" ref="G213:G222">F213-E213</f>
        <v>#REF!</v>
      </c>
      <c r="H213" s="69">
        <f>H218+H238+H214</f>
        <v>826.8</v>
      </c>
      <c r="I213" s="62">
        <f>I218+I238+I214</f>
        <v>798.39315</v>
      </c>
      <c r="J213" s="28">
        <f t="shared" si="78"/>
        <v>-28.406849999999963</v>
      </c>
    </row>
    <row r="214" spans="1:10" ht="15" customHeight="1">
      <c r="A214" s="29"/>
      <c r="B214" s="57" t="s">
        <v>184</v>
      </c>
      <c r="C214" s="59" t="s">
        <v>183</v>
      </c>
      <c r="D214" s="59" t="s">
        <v>13</v>
      </c>
      <c r="E214" s="46">
        <f aca="true" t="shared" si="80" ref="E214:E216">E215</f>
        <v>511</v>
      </c>
      <c r="F214" s="105">
        <f aca="true" t="shared" si="81" ref="F214:F216">F215</f>
        <v>511</v>
      </c>
      <c r="G214" s="34">
        <f t="shared" si="79"/>
        <v>0</v>
      </c>
      <c r="H214" s="105">
        <f aca="true" t="shared" si="82" ref="H214:H216">H215</f>
        <v>511</v>
      </c>
      <c r="I214" s="48">
        <f aca="true" t="shared" si="83" ref="I214:I216">I215</f>
        <v>513.39315</v>
      </c>
      <c r="J214" s="28">
        <f t="shared" si="78"/>
        <v>2.3931499999999915</v>
      </c>
    </row>
    <row r="215" spans="1:10" ht="43.5" customHeight="1" hidden="1">
      <c r="A215" s="29"/>
      <c r="B215" s="57" t="s">
        <v>27</v>
      </c>
      <c r="C215" s="45" t="s">
        <v>183</v>
      </c>
      <c r="D215" s="45" t="s">
        <v>13</v>
      </c>
      <c r="E215" s="46">
        <f t="shared" si="80"/>
        <v>511</v>
      </c>
      <c r="F215" s="105">
        <f t="shared" si="81"/>
        <v>511</v>
      </c>
      <c r="G215" s="34">
        <f t="shared" si="79"/>
        <v>0</v>
      </c>
      <c r="H215" s="105">
        <f t="shared" si="82"/>
        <v>511</v>
      </c>
      <c r="I215" s="48">
        <f t="shared" si="83"/>
        <v>513.39315</v>
      </c>
      <c r="J215" s="28">
        <f t="shared" si="78"/>
        <v>2.3931499999999915</v>
      </c>
    </row>
    <row r="216" spans="1:10" ht="30.75" customHeight="1" hidden="1">
      <c r="A216" s="29"/>
      <c r="B216" s="40" t="s">
        <v>185</v>
      </c>
      <c r="C216" s="45" t="s">
        <v>183</v>
      </c>
      <c r="D216" s="45" t="s">
        <v>13</v>
      </c>
      <c r="E216" s="46">
        <f t="shared" si="80"/>
        <v>511</v>
      </c>
      <c r="F216" s="105">
        <f t="shared" si="81"/>
        <v>511</v>
      </c>
      <c r="G216" s="34">
        <f t="shared" si="79"/>
        <v>0</v>
      </c>
      <c r="H216" s="105">
        <f t="shared" si="82"/>
        <v>511</v>
      </c>
      <c r="I216" s="48">
        <f t="shared" si="83"/>
        <v>513.39315</v>
      </c>
      <c r="J216" s="28">
        <f t="shared" si="78"/>
        <v>2.3931499999999915</v>
      </c>
    </row>
    <row r="217" spans="1:10" ht="28.5" customHeight="1" hidden="1">
      <c r="A217" s="29"/>
      <c r="B217" s="40" t="s">
        <v>186</v>
      </c>
      <c r="C217" s="45" t="s">
        <v>183</v>
      </c>
      <c r="D217" s="45" t="s">
        <v>13</v>
      </c>
      <c r="E217" s="50">
        <v>511</v>
      </c>
      <c r="F217" s="105">
        <v>511</v>
      </c>
      <c r="G217" s="34">
        <f t="shared" si="79"/>
        <v>0</v>
      </c>
      <c r="H217" s="105">
        <v>511</v>
      </c>
      <c r="I217" s="48">
        <f>511+2.39315</f>
        <v>513.39315</v>
      </c>
      <c r="J217" s="28">
        <f t="shared" si="78"/>
        <v>2.3931499999999915</v>
      </c>
    </row>
    <row r="218" spans="1:10" ht="16.5" hidden="1">
      <c r="A218" s="29"/>
      <c r="B218" s="57" t="s">
        <v>187</v>
      </c>
      <c r="C218" s="59" t="s">
        <v>183</v>
      </c>
      <c r="D218" s="59" t="s">
        <v>15</v>
      </c>
      <c r="E218" s="60" t="e">
        <f>E228+E231+#REF!</f>
        <v>#REF!</v>
      </c>
      <c r="F218" s="69">
        <f>F219+F228+F231</f>
        <v>53301.03856</v>
      </c>
      <c r="G218" s="26" t="e">
        <f t="shared" si="79"/>
        <v>#REF!</v>
      </c>
      <c r="H218" s="69">
        <f>H219+H228+H231</f>
        <v>30.8</v>
      </c>
      <c r="I218" s="62">
        <f>I219+I228+I231</f>
        <v>0</v>
      </c>
      <c r="J218" s="28">
        <f t="shared" si="78"/>
        <v>-30.8</v>
      </c>
    </row>
    <row r="219" spans="1:10" ht="50.25" customHeight="1" hidden="1">
      <c r="A219" s="29"/>
      <c r="B219" s="57" t="s">
        <v>110</v>
      </c>
      <c r="C219" s="112" t="s">
        <v>183</v>
      </c>
      <c r="D219" s="112" t="s">
        <v>15</v>
      </c>
      <c r="E219" s="123">
        <f>E220</f>
        <v>1000</v>
      </c>
      <c r="F219" s="105">
        <f>F220+F224</f>
        <v>53270.23856</v>
      </c>
      <c r="G219" s="26">
        <f t="shared" si="79"/>
        <v>52270.23856</v>
      </c>
      <c r="H219" s="105">
        <f>H220+H224</f>
        <v>0</v>
      </c>
      <c r="I219" s="48">
        <f>I220+I224</f>
        <v>0</v>
      </c>
      <c r="J219" s="28">
        <f t="shared" si="78"/>
        <v>0</v>
      </c>
    </row>
    <row r="220" spans="1:10" ht="39" customHeight="1" hidden="1">
      <c r="A220" s="29"/>
      <c r="B220" s="57" t="s">
        <v>188</v>
      </c>
      <c r="C220" s="112" t="s">
        <v>183</v>
      </c>
      <c r="D220" s="112" t="s">
        <v>15</v>
      </c>
      <c r="E220" s="123">
        <f>E223</f>
        <v>1000</v>
      </c>
      <c r="F220" s="105">
        <f>F221+F222+F223</f>
        <v>6813.337439999999</v>
      </c>
      <c r="G220" s="26">
        <f t="shared" si="79"/>
        <v>5813.337439999999</v>
      </c>
      <c r="H220" s="105">
        <f>H221+H222+H223</f>
        <v>0</v>
      </c>
      <c r="I220" s="48">
        <f>I221+I222+I223</f>
        <v>0</v>
      </c>
      <c r="J220" s="28">
        <f t="shared" si="78"/>
        <v>0</v>
      </c>
    </row>
    <row r="221" spans="1:10" ht="97.5" customHeight="1" hidden="1">
      <c r="A221" s="29"/>
      <c r="B221" s="95" t="s">
        <v>189</v>
      </c>
      <c r="C221" s="112" t="s">
        <v>183</v>
      </c>
      <c r="D221" s="124" t="s">
        <v>15</v>
      </c>
      <c r="E221" s="125"/>
      <c r="F221" s="105">
        <f>5995.62194</f>
        <v>5995.62194</v>
      </c>
      <c r="G221" s="26">
        <f t="shared" si="79"/>
        <v>5995.62194</v>
      </c>
      <c r="H221" s="105">
        <f>5995.62194-5995.62194</f>
        <v>0</v>
      </c>
      <c r="I221" s="48">
        <f>5995.62194-5995.62194</f>
        <v>0</v>
      </c>
      <c r="J221" s="28">
        <f t="shared" si="78"/>
        <v>0</v>
      </c>
    </row>
    <row r="222" spans="1:10" ht="96.75" customHeight="1" hidden="1">
      <c r="A222" s="29"/>
      <c r="B222" s="95" t="s">
        <v>190</v>
      </c>
      <c r="C222" s="112" t="s">
        <v>183</v>
      </c>
      <c r="D222" s="124" t="s">
        <v>15</v>
      </c>
      <c r="E222" s="125"/>
      <c r="F222" s="105">
        <v>315.55905</v>
      </c>
      <c r="G222" s="26">
        <f t="shared" si="79"/>
        <v>315.55905</v>
      </c>
      <c r="H222" s="105">
        <f>315.55905-315.55905</f>
        <v>0</v>
      </c>
      <c r="I222" s="48">
        <f>315.55905-315.55905</f>
        <v>0</v>
      </c>
      <c r="J222" s="28">
        <f t="shared" si="78"/>
        <v>0</v>
      </c>
    </row>
    <row r="223" spans="1:10" ht="47.25" customHeight="1" hidden="1">
      <c r="A223" s="29"/>
      <c r="B223" s="95" t="s">
        <v>191</v>
      </c>
      <c r="C223" s="112" t="s">
        <v>183</v>
      </c>
      <c r="D223" s="124" t="s">
        <v>15</v>
      </c>
      <c r="E223" s="123">
        <v>1000</v>
      </c>
      <c r="F223" s="105">
        <f>1000+50-315.55905-232.2845</f>
        <v>502.15644999999995</v>
      </c>
      <c r="G223" s="26" t="e">
        <f>F223-#REF!</f>
        <v>#REF!</v>
      </c>
      <c r="H223" s="105">
        <f>1000+50-315.55905-232.2845-502.15645</f>
        <v>0</v>
      </c>
      <c r="I223" s="48">
        <f>1000+50-315.55905-232.2845-502.15645</f>
        <v>0</v>
      </c>
      <c r="J223" s="28">
        <f t="shared" si="78"/>
        <v>0</v>
      </c>
    </row>
    <row r="224" spans="1:10" ht="48.75" customHeight="1" hidden="1">
      <c r="A224" s="29"/>
      <c r="B224" s="57" t="s">
        <v>192</v>
      </c>
      <c r="C224" s="112" t="s">
        <v>183</v>
      </c>
      <c r="D224" s="124" t="s">
        <v>15</v>
      </c>
      <c r="E224" s="46"/>
      <c r="F224" s="105">
        <f>F225+F226+F227</f>
        <v>46456.901119999995</v>
      </c>
      <c r="G224" s="26">
        <f aca="true" t="shared" si="84" ref="G224:G235">F224-E224</f>
        <v>46456.901119999995</v>
      </c>
      <c r="H224" s="105">
        <f>H225+H226+H227</f>
        <v>0</v>
      </c>
      <c r="I224" s="48">
        <f>I225+I226+I227</f>
        <v>0</v>
      </c>
      <c r="J224" s="28">
        <f t="shared" si="78"/>
        <v>0</v>
      </c>
    </row>
    <row r="225" spans="1:10" ht="78" customHeight="1" hidden="1">
      <c r="A225" s="29"/>
      <c r="B225" s="57" t="s">
        <v>116</v>
      </c>
      <c r="C225" s="112" t="s">
        <v>183</v>
      </c>
      <c r="D225" s="124" t="s">
        <v>15</v>
      </c>
      <c r="E225" s="60"/>
      <c r="F225" s="76">
        <f>45527.7631</f>
        <v>45527.7631</v>
      </c>
      <c r="G225" s="26">
        <f t="shared" si="84"/>
        <v>45527.7631</v>
      </c>
      <c r="H225" s="76">
        <f>45527.7631-45527.7631</f>
        <v>0</v>
      </c>
      <c r="I225" s="48">
        <f>45527.7631-45527.7631</f>
        <v>0</v>
      </c>
      <c r="J225" s="28">
        <f t="shared" si="78"/>
        <v>0</v>
      </c>
    </row>
    <row r="226" spans="1:10" ht="49.5" customHeight="1" hidden="1">
      <c r="A226" s="29"/>
      <c r="B226" s="57" t="s">
        <v>117</v>
      </c>
      <c r="C226" s="112" t="s">
        <v>183</v>
      </c>
      <c r="D226" s="124" t="s">
        <v>15</v>
      </c>
      <c r="E226" s="60"/>
      <c r="F226" s="105">
        <v>696.85352</v>
      </c>
      <c r="G226" s="26">
        <f t="shared" si="84"/>
        <v>696.85352</v>
      </c>
      <c r="H226" s="105">
        <f>696.85352-696.85352</f>
        <v>0</v>
      </c>
      <c r="I226" s="48">
        <f>696.85352-696.85352</f>
        <v>0</v>
      </c>
      <c r="J226" s="28">
        <f t="shared" si="78"/>
        <v>0</v>
      </c>
    </row>
    <row r="227" spans="1:10" ht="63.75" customHeight="1" hidden="1">
      <c r="A227" s="29"/>
      <c r="B227" s="57" t="s">
        <v>193</v>
      </c>
      <c r="C227" s="112" t="s">
        <v>183</v>
      </c>
      <c r="D227" s="124" t="s">
        <v>15</v>
      </c>
      <c r="E227" s="60"/>
      <c r="F227" s="105">
        <v>232.2845</v>
      </c>
      <c r="G227" s="26">
        <f t="shared" si="84"/>
        <v>232.2845</v>
      </c>
      <c r="H227" s="105">
        <f>232.2845-232.2845</f>
        <v>0</v>
      </c>
      <c r="I227" s="48">
        <f>232.2845-232.2845</f>
        <v>0</v>
      </c>
      <c r="J227" s="28">
        <f t="shared" si="78"/>
        <v>0</v>
      </c>
    </row>
    <row r="228" spans="1:10" ht="51.75" customHeight="1" hidden="1">
      <c r="A228" s="29"/>
      <c r="B228" s="35" t="s">
        <v>194</v>
      </c>
      <c r="C228" s="45" t="s">
        <v>183</v>
      </c>
      <c r="D228" s="45" t="s">
        <v>15</v>
      </c>
      <c r="E228" s="46">
        <f aca="true" t="shared" si="85" ref="E228:E229">E229</f>
        <v>285</v>
      </c>
      <c r="F228" s="51">
        <f aca="true" t="shared" si="86" ref="F228:F229">F229</f>
        <v>0</v>
      </c>
      <c r="G228" s="34">
        <f t="shared" si="84"/>
        <v>-285</v>
      </c>
      <c r="H228" s="51">
        <f aca="true" t="shared" si="87" ref="H228:H229">H229</f>
        <v>0</v>
      </c>
      <c r="I228" s="48">
        <f aca="true" t="shared" si="88" ref="I228:I229">I229</f>
        <v>0</v>
      </c>
      <c r="J228" s="28">
        <f t="shared" si="78"/>
        <v>0</v>
      </c>
    </row>
    <row r="229" spans="1:10" ht="31.5" customHeight="1" hidden="1">
      <c r="A229" s="29"/>
      <c r="B229" s="35" t="s">
        <v>195</v>
      </c>
      <c r="C229" s="45" t="s">
        <v>183</v>
      </c>
      <c r="D229" s="45" t="s">
        <v>15</v>
      </c>
      <c r="E229" s="46">
        <f t="shared" si="85"/>
        <v>285</v>
      </c>
      <c r="F229" s="51">
        <f t="shared" si="86"/>
        <v>0</v>
      </c>
      <c r="G229" s="34">
        <f t="shared" si="84"/>
        <v>-285</v>
      </c>
      <c r="H229" s="51">
        <f t="shared" si="87"/>
        <v>0</v>
      </c>
      <c r="I229" s="48">
        <f t="shared" si="88"/>
        <v>0</v>
      </c>
      <c r="J229" s="28">
        <f t="shared" si="78"/>
        <v>0</v>
      </c>
    </row>
    <row r="230" spans="1:10" ht="36" customHeight="1" hidden="1">
      <c r="A230" s="29"/>
      <c r="B230" s="57" t="s">
        <v>196</v>
      </c>
      <c r="C230" s="45" t="s">
        <v>183</v>
      </c>
      <c r="D230" s="45" t="s">
        <v>15</v>
      </c>
      <c r="E230" s="50">
        <v>285</v>
      </c>
      <c r="F230" s="51">
        <f>285-285</f>
        <v>0</v>
      </c>
      <c r="G230" s="34">
        <f t="shared" si="84"/>
        <v>-285</v>
      </c>
      <c r="H230" s="51">
        <f>285-285</f>
        <v>0</v>
      </c>
      <c r="I230" s="48">
        <f>285-285</f>
        <v>0</v>
      </c>
      <c r="J230" s="28">
        <f t="shared" si="78"/>
        <v>0</v>
      </c>
    </row>
    <row r="231" spans="1:10" ht="16.5" hidden="1">
      <c r="A231" s="29"/>
      <c r="B231" s="57" t="s">
        <v>22</v>
      </c>
      <c r="C231" s="45" t="s">
        <v>183</v>
      </c>
      <c r="D231" s="45" t="s">
        <v>15</v>
      </c>
      <c r="E231" s="46">
        <f>E232</f>
        <v>30.8</v>
      </c>
      <c r="F231" s="51">
        <f>F232</f>
        <v>30.8</v>
      </c>
      <c r="G231" s="34">
        <f t="shared" si="84"/>
        <v>0</v>
      </c>
      <c r="H231" s="51">
        <f>H232</f>
        <v>30.8</v>
      </c>
      <c r="I231" s="48">
        <f>I232</f>
        <v>0</v>
      </c>
      <c r="J231" s="28">
        <f t="shared" si="78"/>
        <v>-30.8</v>
      </c>
    </row>
    <row r="232" spans="1:10" ht="15" customHeight="1" hidden="1">
      <c r="A232" s="29"/>
      <c r="B232" s="57" t="s">
        <v>17</v>
      </c>
      <c r="C232" s="45" t="s">
        <v>183</v>
      </c>
      <c r="D232" s="45" t="s">
        <v>15</v>
      </c>
      <c r="E232" s="46">
        <f>SUM(E233:E237)</f>
        <v>30.8</v>
      </c>
      <c r="F232" s="51">
        <f>SUM(F233:F237)</f>
        <v>30.8</v>
      </c>
      <c r="G232" s="34">
        <f t="shared" si="84"/>
        <v>0</v>
      </c>
      <c r="H232" s="51">
        <f>SUM(H233:H237)</f>
        <v>30.8</v>
      </c>
      <c r="I232" s="48">
        <v>0</v>
      </c>
      <c r="J232" s="28">
        <f t="shared" si="78"/>
        <v>-30.8</v>
      </c>
    </row>
    <row r="233" spans="1:10" ht="37.5" customHeight="1" hidden="1">
      <c r="A233" s="29"/>
      <c r="B233" s="35" t="s">
        <v>197</v>
      </c>
      <c r="C233" s="45" t="s">
        <v>183</v>
      </c>
      <c r="D233" s="45" t="s">
        <v>15</v>
      </c>
      <c r="E233" s="50">
        <v>0</v>
      </c>
      <c r="F233" s="51">
        <v>0</v>
      </c>
      <c r="G233" s="34">
        <f t="shared" si="84"/>
        <v>0</v>
      </c>
      <c r="H233" s="51">
        <v>0</v>
      </c>
      <c r="I233" s="48">
        <v>0</v>
      </c>
      <c r="J233" s="28">
        <f t="shared" si="78"/>
        <v>0</v>
      </c>
    </row>
    <row r="234" spans="1:10" ht="62.25" customHeight="1" hidden="1">
      <c r="A234" s="29"/>
      <c r="B234" s="35" t="s">
        <v>198</v>
      </c>
      <c r="C234" s="45" t="s">
        <v>183</v>
      </c>
      <c r="D234" s="45" t="s">
        <v>15</v>
      </c>
      <c r="E234" s="50">
        <v>0.7</v>
      </c>
      <c r="F234" s="51">
        <v>0.7</v>
      </c>
      <c r="G234" s="34">
        <f t="shared" si="84"/>
        <v>0</v>
      </c>
      <c r="H234" s="51">
        <f>0.7-0.7</f>
        <v>0</v>
      </c>
      <c r="I234" s="48">
        <f>0.7-0.7</f>
        <v>0</v>
      </c>
      <c r="J234" s="28">
        <f t="shared" si="78"/>
        <v>0</v>
      </c>
    </row>
    <row r="235" spans="1:10" ht="74.25" customHeight="1" hidden="1">
      <c r="A235" s="29"/>
      <c r="B235" s="109" t="s">
        <v>199</v>
      </c>
      <c r="C235" s="45" t="s">
        <v>183</v>
      </c>
      <c r="D235" s="45" t="s">
        <v>15</v>
      </c>
      <c r="E235" s="108">
        <v>0.1</v>
      </c>
      <c r="F235" s="65">
        <v>0.1</v>
      </c>
      <c r="G235" s="34">
        <f t="shared" si="84"/>
        <v>0</v>
      </c>
      <c r="H235" s="65">
        <f>0.1-0.1</f>
        <v>0</v>
      </c>
      <c r="I235" s="66">
        <f>0.1-0.1</f>
        <v>0</v>
      </c>
      <c r="J235" s="28">
        <f t="shared" si="78"/>
        <v>0</v>
      </c>
    </row>
    <row r="236" spans="1:10" ht="63.75" customHeight="1" hidden="1">
      <c r="A236" s="29"/>
      <c r="B236" s="35" t="s">
        <v>198</v>
      </c>
      <c r="C236" s="45" t="s">
        <v>183</v>
      </c>
      <c r="D236" s="45" t="s">
        <v>15</v>
      </c>
      <c r="E236" s="108"/>
      <c r="F236" s="65"/>
      <c r="G236" s="34"/>
      <c r="H236" s="65">
        <f>0.7+0.1</f>
        <v>0.8</v>
      </c>
      <c r="I236" s="66">
        <f>0.7+0.1</f>
        <v>0.8</v>
      </c>
      <c r="J236" s="28">
        <f t="shared" si="78"/>
        <v>0</v>
      </c>
    </row>
    <row r="237" spans="1:10" ht="40.5" customHeight="1" hidden="1">
      <c r="A237" s="29"/>
      <c r="B237" s="57" t="s">
        <v>200</v>
      </c>
      <c r="C237" s="120" t="s">
        <v>183</v>
      </c>
      <c r="D237" s="45" t="s">
        <v>15</v>
      </c>
      <c r="E237" s="108">
        <v>30</v>
      </c>
      <c r="F237" s="65">
        <v>30</v>
      </c>
      <c r="G237" s="34">
        <f aca="true" t="shared" si="89" ref="G237:G246">F237-E237</f>
        <v>0</v>
      </c>
      <c r="H237" s="65">
        <v>30</v>
      </c>
      <c r="I237" s="66">
        <f>30-2.39315-27.60685</f>
        <v>0</v>
      </c>
      <c r="J237" s="28">
        <f t="shared" si="78"/>
        <v>-30</v>
      </c>
    </row>
    <row r="238" spans="1:10" ht="16.5" hidden="1">
      <c r="A238" s="29"/>
      <c r="B238" s="126" t="s">
        <v>201</v>
      </c>
      <c r="C238" s="127" t="s">
        <v>183</v>
      </c>
      <c r="D238" s="59" t="s">
        <v>21</v>
      </c>
      <c r="E238" s="128"/>
      <c r="F238" s="129">
        <f aca="true" t="shared" si="90" ref="F238:F240">F239</f>
        <v>285</v>
      </c>
      <c r="G238" s="34">
        <f t="shared" si="89"/>
        <v>285</v>
      </c>
      <c r="H238" s="129">
        <f aca="true" t="shared" si="91" ref="H238:H240">H239</f>
        <v>285</v>
      </c>
      <c r="I238" s="70">
        <f aca="true" t="shared" si="92" ref="I238:I240">I239</f>
        <v>285</v>
      </c>
      <c r="J238" s="28">
        <f t="shared" si="78"/>
        <v>0</v>
      </c>
    </row>
    <row r="239" spans="1:10" ht="40.5" hidden="1">
      <c r="A239" s="29"/>
      <c r="B239" s="35" t="s">
        <v>194</v>
      </c>
      <c r="C239" s="120" t="s">
        <v>183</v>
      </c>
      <c r="D239" s="45" t="s">
        <v>21</v>
      </c>
      <c r="E239" s="108"/>
      <c r="F239" s="65">
        <f t="shared" si="90"/>
        <v>285</v>
      </c>
      <c r="G239" s="34">
        <f t="shared" si="89"/>
        <v>285</v>
      </c>
      <c r="H239" s="65">
        <f t="shared" si="91"/>
        <v>285</v>
      </c>
      <c r="I239" s="66">
        <f t="shared" si="92"/>
        <v>285</v>
      </c>
      <c r="J239" s="28">
        <f t="shared" si="78"/>
        <v>0</v>
      </c>
    </row>
    <row r="240" spans="1:10" ht="27.75" hidden="1">
      <c r="A240" s="29"/>
      <c r="B240" s="35" t="s">
        <v>195</v>
      </c>
      <c r="C240" s="120" t="s">
        <v>183</v>
      </c>
      <c r="D240" s="45" t="s">
        <v>21</v>
      </c>
      <c r="E240" s="108"/>
      <c r="F240" s="65">
        <f t="shared" si="90"/>
        <v>285</v>
      </c>
      <c r="G240" s="34">
        <f t="shared" si="89"/>
        <v>285</v>
      </c>
      <c r="H240" s="65">
        <f t="shared" si="91"/>
        <v>285</v>
      </c>
      <c r="I240" s="66">
        <f t="shared" si="92"/>
        <v>285</v>
      </c>
      <c r="J240" s="28">
        <f t="shared" si="78"/>
        <v>0</v>
      </c>
    </row>
    <row r="241" spans="1:10" ht="36" customHeight="1" hidden="1">
      <c r="A241" s="29"/>
      <c r="B241" s="57" t="s">
        <v>196</v>
      </c>
      <c r="C241" s="120" t="s">
        <v>183</v>
      </c>
      <c r="D241" s="45" t="s">
        <v>21</v>
      </c>
      <c r="E241" s="108"/>
      <c r="F241" s="65">
        <v>285</v>
      </c>
      <c r="G241" s="34">
        <f t="shared" si="89"/>
        <v>285</v>
      </c>
      <c r="H241" s="65">
        <v>285</v>
      </c>
      <c r="I241" s="66">
        <v>285</v>
      </c>
      <c r="J241" s="28">
        <f t="shared" si="78"/>
        <v>0</v>
      </c>
    </row>
    <row r="242" spans="1:10" ht="18.75" customHeight="1">
      <c r="A242" s="29"/>
      <c r="B242" s="130" t="s">
        <v>202</v>
      </c>
      <c r="C242" s="59" t="s">
        <v>31</v>
      </c>
      <c r="D242" s="59"/>
      <c r="E242" s="60">
        <f>E243+E250+E255</f>
        <v>10239.800000000001</v>
      </c>
      <c r="F242" s="69">
        <f>F243+F250+F255</f>
        <v>10414.44062</v>
      </c>
      <c r="G242" s="26">
        <f t="shared" si="89"/>
        <v>174.6406199999983</v>
      </c>
      <c r="H242" s="69">
        <f>H243+H250+H255</f>
        <v>10495.840619999999</v>
      </c>
      <c r="I242" s="62">
        <f>I243+I250+I255</f>
        <v>10070.90662</v>
      </c>
      <c r="J242" s="28">
        <f t="shared" si="78"/>
        <v>-424.9339999999993</v>
      </c>
    </row>
    <row r="243" spans="1:10" ht="15" customHeight="1">
      <c r="A243" s="29"/>
      <c r="B243" s="57" t="s">
        <v>203</v>
      </c>
      <c r="C243" s="59" t="s">
        <v>31</v>
      </c>
      <c r="D243" s="59" t="s">
        <v>13</v>
      </c>
      <c r="E243" s="60">
        <f aca="true" t="shared" si="93" ref="E243:E245">E244</f>
        <v>9181.7</v>
      </c>
      <c r="F243" s="61">
        <f aca="true" t="shared" si="94" ref="F243:F245">F244</f>
        <v>9181.7</v>
      </c>
      <c r="G243" s="34">
        <f t="shared" si="89"/>
        <v>0</v>
      </c>
      <c r="H243" s="61">
        <f>H244+H247</f>
        <v>9303</v>
      </c>
      <c r="I243" s="62">
        <f>I244+I247</f>
        <v>9185</v>
      </c>
      <c r="J243" s="28">
        <f t="shared" si="78"/>
        <v>-118</v>
      </c>
    </row>
    <row r="244" spans="1:10" ht="15" customHeight="1" hidden="1">
      <c r="A244" s="29"/>
      <c r="B244" s="57" t="s">
        <v>22</v>
      </c>
      <c r="C244" s="45" t="s">
        <v>31</v>
      </c>
      <c r="D244" s="45" t="s">
        <v>13</v>
      </c>
      <c r="E244" s="46">
        <f t="shared" si="93"/>
        <v>9181.7</v>
      </c>
      <c r="F244" s="51">
        <f t="shared" si="94"/>
        <v>9181.7</v>
      </c>
      <c r="G244" s="34">
        <f t="shared" si="89"/>
        <v>0</v>
      </c>
      <c r="H244" s="51">
        <f aca="true" t="shared" si="95" ref="H244:H245">H245</f>
        <v>9263.1</v>
      </c>
      <c r="I244" s="48">
        <f aca="true" t="shared" si="96" ref="I244:I245">I245</f>
        <v>9185</v>
      </c>
      <c r="J244" s="28">
        <f t="shared" si="78"/>
        <v>-78.10000000000036</v>
      </c>
    </row>
    <row r="245" spans="1:10" ht="15" customHeight="1" hidden="1">
      <c r="A245" s="29"/>
      <c r="B245" s="57" t="s">
        <v>17</v>
      </c>
      <c r="C245" s="45" t="s">
        <v>31</v>
      </c>
      <c r="D245" s="45" t="s">
        <v>13</v>
      </c>
      <c r="E245" s="46">
        <f t="shared" si="93"/>
        <v>9181.7</v>
      </c>
      <c r="F245" s="51">
        <f t="shared" si="94"/>
        <v>9181.7</v>
      </c>
      <c r="G245" s="34">
        <f t="shared" si="89"/>
        <v>0</v>
      </c>
      <c r="H245" s="51">
        <f t="shared" si="95"/>
        <v>9263.1</v>
      </c>
      <c r="I245" s="48">
        <f t="shared" si="96"/>
        <v>9185</v>
      </c>
      <c r="J245" s="28">
        <f t="shared" si="78"/>
        <v>-78.10000000000036</v>
      </c>
    </row>
    <row r="246" spans="1:10" ht="57" customHeight="1" hidden="1">
      <c r="A246" s="29"/>
      <c r="B246" s="40" t="s">
        <v>204</v>
      </c>
      <c r="C246" s="45" t="s">
        <v>31</v>
      </c>
      <c r="D246" s="45" t="s">
        <v>13</v>
      </c>
      <c r="E246" s="50">
        <v>9181.7</v>
      </c>
      <c r="F246" s="51">
        <v>9181.7</v>
      </c>
      <c r="G246" s="34">
        <f t="shared" si="89"/>
        <v>0</v>
      </c>
      <c r="H246" s="51">
        <f>9181.7+81.4</f>
        <v>9263.1</v>
      </c>
      <c r="I246" s="48">
        <v>9185</v>
      </c>
      <c r="J246" s="28">
        <f t="shared" si="78"/>
        <v>-78.10000000000036</v>
      </c>
    </row>
    <row r="247" spans="1:10" ht="56.25" customHeight="1" hidden="1">
      <c r="A247" s="29"/>
      <c r="B247" s="57" t="s">
        <v>175</v>
      </c>
      <c r="C247" s="45">
        <v>11</v>
      </c>
      <c r="D247" s="124" t="s">
        <v>13</v>
      </c>
      <c r="E247" s="50"/>
      <c r="F247" s="51"/>
      <c r="G247" s="34"/>
      <c r="H247" s="51">
        <f aca="true" t="shared" si="97" ref="H247:H248">H248</f>
        <v>39.9</v>
      </c>
      <c r="I247" s="48">
        <f aca="true" t="shared" si="98" ref="I247:I248">I248</f>
        <v>0</v>
      </c>
      <c r="J247" s="28">
        <f t="shared" si="78"/>
        <v>-39.9</v>
      </c>
    </row>
    <row r="248" spans="1:10" ht="30" customHeight="1" hidden="1">
      <c r="A248" s="29"/>
      <c r="B248" s="57" t="s">
        <v>176</v>
      </c>
      <c r="C248" s="45">
        <v>11</v>
      </c>
      <c r="D248" s="124" t="s">
        <v>13</v>
      </c>
      <c r="E248" s="50"/>
      <c r="F248" s="51"/>
      <c r="G248" s="34"/>
      <c r="H248" s="51">
        <f t="shared" si="97"/>
        <v>39.9</v>
      </c>
      <c r="I248" s="48">
        <f t="shared" si="98"/>
        <v>0</v>
      </c>
      <c r="J248" s="28">
        <f t="shared" si="78"/>
        <v>-39.9</v>
      </c>
    </row>
    <row r="249" spans="1:10" ht="67.5" customHeight="1" hidden="1">
      <c r="A249" s="29"/>
      <c r="B249" s="57" t="s">
        <v>177</v>
      </c>
      <c r="C249" s="45">
        <v>11</v>
      </c>
      <c r="D249" s="124" t="s">
        <v>13</v>
      </c>
      <c r="E249" s="50"/>
      <c r="F249" s="51"/>
      <c r="G249" s="34"/>
      <c r="H249" s="51">
        <v>39.9</v>
      </c>
      <c r="I249" s="48">
        <f>39.9-39.9</f>
        <v>0</v>
      </c>
      <c r="J249" s="28">
        <f t="shared" si="78"/>
        <v>-39.9</v>
      </c>
    </row>
    <row r="250" spans="1:10" ht="19.5" customHeight="1">
      <c r="A250" s="29"/>
      <c r="B250" s="77" t="s">
        <v>205</v>
      </c>
      <c r="C250" s="59" t="s">
        <v>31</v>
      </c>
      <c r="D250" s="59" t="s">
        <v>54</v>
      </c>
      <c r="E250" s="68">
        <f aca="true" t="shared" si="99" ref="E250:E251">E251</f>
        <v>1018.2</v>
      </c>
      <c r="F250" s="69">
        <f aca="true" t="shared" si="100" ref="F250:F251">F251</f>
        <v>1192.84062</v>
      </c>
      <c r="G250" s="26">
        <f aca="true" t="shared" si="101" ref="G250:G258">F250-E250</f>
        <v>174.6406199999999</v>
      </c>
      <c r="H250" s="69">
        <f aca="true" t="shared" si="102" ref="H250:H251">H251</f>
        <v>1192.84062</v>
      </c>
      <c r="I250" s="62">
        <f aca="true" t="shared" si="103" ref="I250:I251">I251</f>
        <v>885.90662</v>
      </c>
      <c r="J250" s="28">
        <f t="shared" si="78"/>
        <v>-306.93399999999997</v>
      </c>
    </row>
    <row r="251" spans="1:10" ht="57" customHeight="1" hidden="1">
      <c r="A251" s="29"/>
      <c r="B251" s="35" t="s">
        <v>206</v>
      </c>
      <c r="C251" s="45" t="s">
        <v>31</v>
      </c>
      <c r="D251" s="45" t="s">
        <v>54</v>
      </c>
      <c r="E251" s="50">
        <f t="shared" si="99"/>
        <v>1018.2</v>
      </c>
      <c r="F251" s="105">
        <f t="shared" si="100"/>
        <v>1192.84062</v>
      </c>
      <c r="G251" s="26">
        <f t="shared" si="101"/>
        <v>174.6406199999999</v>
      </c>
      <c r="H251" s="105">
        <f t="shared" si="102"/>
        <v>1192.84062</v>
      </c>
      <c r="I251" s="48">
        <f t="shared" si="103"/>
        <v>885.90662</v>
      </c>
      <c r="J251" s="28">
        <f t="shared" si="78"/>
        <v>-306.93399999999997</v>
      </c>
    </row>
    <row r="252" spans="1:10" ht="32.25" customHeight="1" hidden="1">
      <c r="A252" s="29"/>
      <c r="B252" s="57" t="s">
        <v>207</v>
      </c>
      <c r="C252" s="45" t="s">
        <v>31</v>
      </c>
      <c r="D252" s="45" t="s">
        <v>54</v>
      </c>
      <c r="E252" s="50">
        <f>E253+E254</f>
        <v>1018.2</v>
      </c>
      <c r="F252" s="105">
        <f>F253+F254</f>
        <v>1192.84062</v>
      </c>
      <c r="G252" s="26">
        <f t="shared" si="101"/>
        <v>174.6406199999999</v>
      </c>
      <c r="H252" s="105">
        <f>H253+H254</f>
        <v>1192.84062</v>
      </c>
      <c r="I252" s="48">
        <f>I253+I254</f>
        <v>885.90662</v>
      </c>
      <c r="J252" s="28">
        <f t="shared" si="78"/>
        <v>-306.93399999999997</v>
      </c>
    </row>
    <row r="253" spans="1:10" ht="43.5" customHeight="1" hidden="1">
      <c r="A253" s="29"/>
      <c r="B253" s="131" t="s">
        <v>208</v>
      </c>
      <c r="C253" s="132" t="s">
        <v>31</v>
      </c>
      <c r="D253" s="132" t="s">
        <v>54</v>
      </c>
      <c r="E253" s="133">
        <v>488.2</v>
      </c>
      <c r="F253" s="105">
        <f>488.2+30.14062-10</f>
        <v>508.34061999999994</v>
      </c>
      <c r="G253" s="79">
        <f t="shared" si="101"/>
        <v>20.140619999999956</v>
      </c>
      <c r="H253" s="105">
        <f>488.2+30.14062-10-20</f>
        <v>488.34061999999994</v>
      </c>
      <c r="I253" s="48">
        <f>488.2+30.14062-10-20-26.9</f>
        <v>461.44061999999997</v>
      </c>
      <c r="J253" s="28">
        <f t="shared" si="78"/>
        <v>-26.899999999999977</v>
      </c>
    </row>
    <row r="254" spans="1:10" ht="57" customHeight="1" hidden="1">
      <c r="A254" s="29"/>
      <c r="B254" s="131" t="s">
        <v>209</v>
      </c>
      <c r="C254" s="132" t="s">
        <v>31</v>
      </c>
      <c r="D254" s="132" t="s">
        <v>54</v>
      </c>
      <c r="E254" s="133">
        <f>530</f>
        <v>530</v>
      </c>
      <c r="F254" s="105">
        <f>530+154.5</f>
        <v>684.5</v>
      </c>
      <c r="G254" s="26">
        <f t="shared" si="101"/>
        <v>154.5</v>
      </c>
      <c r="H254" s="105">
        <f>530+154.5+20</f>
        <v>704.5</v>
      </c>
      <c r="I254" s="48">
        <f>530+154.5+20-212.08766-67.94634</f>
        <v>424.46599999999995</v>
      </c>
      <c r="J254" s="28">
        <f t="shared" si="78"/>
        <v>-280.03400000000005</v>
      </c>
    </row>
    <row r="255" spans="1:10" ht="33.75" customHeight="1" hidden="1">
      <c r="A255" s="29"/>
      <c r="B255" s="134" t="s">
        <v>210</v>
      </c>
      <c r="C255" s="59" t="s">
        <v>31</v>
      </c>
      <c r="D255" s="59" t="s">
        <v>74</v>
      </c>
      <c r="E255" s="68">
        <f aca="true" t="shared" si="104" ref="E255:E257">E256</f>
        <v>39.9</v>
      </c>
      <c r="F255" s="61">
        <f aca="true" t="shared" si="105" ref="F255:F257">F256</f>
        <v>39.9</v>
      </c>
      <c r="G255" s="34">
        <f t="shared" si="101"/>
        <v>0</v>
      </c>
      <c r="H255" s="61">
        <f aca="true" t="shared" si="106" ref="H255:H257">H256</f>
        <v>0</v>
      </c>
      <c r="I255" s="62">
        <f aca="true" t="shared" si="107" ref="I255:I257">I256</f>
        <v>0</v>
      </c>
      <c r="J255" s="28">
        <f t="shared" si="78"/>
        <v>0</v>
      </c>
    </row>
    <row r="256" spans="1:10" ht="60" customHeight="1" hidden="1">
      <c r="A256" s="135"/>
      <c r="B256" s="57" t="s">
        <v>175</v>
      </c>
      <c r="C256" s="45">
        <v>11</v>
      </c>
      <c r="D256" s="124" t="s">
        <v>74</v>
      </c>
      <c r="E256" s="46">
        <f t="shared" si="104"/>
        <v>39.9</v>
      </c>
      <c r="F256" s="51">
        <f t="shared" si="105"/>
        <v>39.9</v>
      </c>
      <c r="G256" s="34">
        <f t="shared" si="101"/>
        <v>0</v>
      </c>
      <c r="H256" s="51">
        <f t="shared" si="106"/>
        <v>0</v>
      </c>
      <c r="I256" s="48">
        <f t="shared" si="107"/>
        <v>0</v>
      </c>
      <c r="J256" s="28">
        <f t="shared" si="78"/>
        <v>0</v>
      </c>
    </row>
    <row r="257" spans="1:10" ht="27.75" hidden="1">
      <c r="A257" s="135"/>
      <c r="B257" s="57" t="s">
        <v>176</v>
      </c>
      <c r="C257" s="45">
        <v>11</v>
      </c>
      <c r="D257" s="124" t="s">
        <v>74</v>
      </c>
      <c r="E257" s="46">
        <f t="shared" si="104"/>
        <v>39.9</v>
      </c>
      <c r="F257" s="51">
        <f t="shared" si="105"/>
        <v>39.9</v>
      </c>
      <c r="G257" s="34">
        <f t="shared" si="101"/>
        <v>0</v>
      </c>
      <c r="H257" s="51">
        <f t="shared" si="106"/>
        <v>0</v>
      </c>
      <c r="I257" s="48">
        <f t="shared" si="107"/>
        <v>0</v>
      </c>
      <c r="J257" s="28">
        <f t="shared" si="78"/>
        <v>0</v>
      </c>
    </row>
    <row r="258" spans="1:10" ht="80.25" customHeight="1" hidden="1">
      <c r="A258" s="136"/>
      <c r="B258" s="57" t="s">
        <v>177</v>
      </c>
      <c r="C258" s="45">
        <v>11</v>
      </c>
      <c r="D258" s="124" t="s">
        <v>74</v>
      </c>
      <c r="E258" s="46">
        <f>39.9</f>
        <v>39.9</v>
      </c>
      <c r="F258" s="51">
        <f>39.9</f>
        <v>39.9</v>
      </c>
      <c r="G258" s="34">
        <f t="shared" si="101"/>
        <v>0</v>
      </c>
      <c r="H258" s="51">
        <f>39.9-39.9</f>
        <v>0</v>
      </c>
      <c r="I258" s="48">
        <f>39.9-39.9</f>
        <v>0</v>
      </c>
      <c r="J258" s="28">
        <f t="shared" si="78"/>
        <v>0</v>
      </c>
    </row>
    <row r="259" spans="1:10" ht="25.5" customHeight="1">
      <c r="A259" s="136"/>
      <c r="B259" s="30" t="s">
        <v>211</v>
      </c>
      <c r="C259" s="45"/>
      <c r="D259" s="124"/>
      <c r="E259" s="46"/>
      <c r="F259" s="51"/>
      <c r="G259" s="34"/>
      <c r="H259" s="51"/>
      <c r="I259" s="62">
        <v>157421.8</v>
      </c>
      <c r="J259" s="28"/>
    </row>
    <row r="260" spans="8:10" ht="15.75">
      <c r="H260" s="4"/>
      <c r="J260" s="137"/>
    </row>
    <row r="261" spans="8:10" ht="15.75">
      <c r="H261" s="4"/>
      <c r="J261" s="137"/>
    </row>
    <row r="262" spans="8:10" ht="15.75">
      <c r="H262" s="4"/>
      <c r="J262" s="137"/>
    </row>
    <row r="263" spans="8:10" ht="15.75">
      <c r="H263" s="4"/>
      <c r="J263" s="137"/>
    </row>
    <row r="264" spans="8:10" ht="15.75">
      <c r="H264" s="4"/>
      <c r="J264" s="137"/>
    </row>
    <row r="265" spans="8:10" ht="15.75">
      <c r="H265" s="4"/>
      <c r="J265" s="137"/>
    </row>
    <row r="266" spans="8:10" ht="15.75">
      <c r="H266" s="4"/>
      <c r="J266" s="137"/>
    </row>
    <row r="267" spans="8:10" ht="15.75">
      <c r="H267" s="4"/>
      <c r="J267" s="137"/>
    </row>
    <row r="268" spans="8:10" ht="15.75">
      <c r="H268" s="4"/>
      <c r="J268" s="137"/>
    </row>
    <row r="269" spans="8:10" ht="15.75">
      <c r="H269" s="4"/>
      <c r="J269" s="137"/>
    </row>
    <row r="270" spans="8:10" ht="15.75">
      <c r="H270" s="4"/>
      <c r="J270" s="137"/>
    </row>
    <row r="271" spans="8:10" ht="15.75">
      <c r="H271" s="4"/>
      <c r="J271" s="137"/>
    </row>
    <row r="272" spans="8:10" ht="15.75">
      <c r="H272" s="4"/>
      <c r="J272" s="137"/>
    </row>
    <row r="273" spans="8:10" ht="15.75">
      <c r="H273" s="4"/>
      <c r="J273" s="137"/>
    </row>
    <row r="274" spans="8:10" ht="15.75">
      <c r="H274" s="4"/>
      <c r="J274" s="137"/>
    </row>
    <row r="275" spans="8:10" ht="15.75">
      <c r="H275" s="4"/>
      <c r="J275" s="137"/>
    </row>
    <row r="276" spans="8:10" ht="15.75">
      <c r="H276" s="4"/>
      <c r="J276" s="137"/>
    </row>
    <row r="277" spans="8:10" ht="15.75">
      <c r="H277" s="4"/>
      <c r="J277" s="137"/>
    </row>
    <row r="278" spans="8:10" ht="15.75">
      <c r="H278" s="4"/>
      <c r="J278" s="137"/>
    </row>
    <row r="279" spans="8:10" ht="15.75">
      <c r="H279" s="4"/>
      <c r="J279" s="137"/>
    </row>
    <row r="280" spans="8:10" ht="15.75">
      <c r="H280" s="4"/>
      <c r="J280" s="137"/>
    </row>
    <row r="281" spans="8:10" ht="15.75">
      <c r="H281" s="4"/>
      <c r="J281" s="137"/>
    </row>
    <row r="282" spans="8:10" ht="15.75">
      <c r="H282" s="4"/>
      <c r="J282" s="137"/>
    </row>
    <row r="283" spans="8:10" ht="15.75">
      <c r="H283" s="4"/>
      <c r="J283" s="137"/>
    </row>
    <row r="284" spans="8:10" ht="15.75">
      <c r="H284" s="4"/>
      <c r="J284" s="137"/>
    </row>
    <row r="285" spans="8:10" ht="15.75">
      <c r="H285" s="4"/>
      <c r="J285" s="137"/>
    </row>
    <row r="286" spans="8:10" ht="15.75">
      <c r="H286" s="4"/>
      <c r="J286" s="137"/>
    </row>
    <row r="287" spans="8:10" ht="15.75">
      <c r="H287" s="4"/>
      <c r="J287" s="137"/>
    </row>
    <row r="288" spans="8:10" ht="15.75">
      <c r="H288" s="4"/>
      <c r="J288" s="137"/>
    </row>
    <row r="289" spans="8:10" ht="15.75">
      <c r="H289" s="4"/>
      <c r="J289" s="137"/>
    </row>
    <row r="290" spans="8:10" ht="15.75">
      <c r="H290" s="4"/>
      <c r="J290" s="137"/>
    </row>
    <row r="291" spans="8:10" ht="15.75">
      <c r="H291" s="4"/>
      <c r="J291" s="137"/>
    </row>
    <row r="292" spans="8:10" ht="15.75">
      <c r="H292" s="4"/>
      <c r="J292" s="137"/>
    </row>
    <row r="293" spans="8:10" ht="15.75">
      <c r="H293" s="4"/>
      <c r="J293" s="137"/>
    </row>
    <row r="294" spans="8:10" ht="15.75">
      <c r="H294" s="4"/>
      <c r="J294" s="137"/>
    </row>
    <row r="295" spans="8:10" ht="15.75">
      <c r="H295" s="4"/>
      <c r="J295" s="137"/>
    </row>
    <row r="296" spans="8:10" ht="15.75">
      <c r="H296" s="4"/>
      <c r="J296" s="137"/>
    </row>
    <row r="297" spans="8:10" ht="15.75">
      <c r="H297" s="4"/>
      <c r="J297" s="137"/>
    </row>
    <row r="298" spans="8:10" ht="15.75">
      <c r="H298" s="4"/>
      <c r="J298" s="137"/>
    </row>
    <row r="299" spans="8:10" ht="15.75">
      <c r="H299" s="4"/>
      <c r="J299" s="137"/>
    </row>
    <row r="300" spans="8:10" ht="15.75">
      <c r="H300" s="4"/>
      <c r="J300" s="137"/>
    </row>
    <row r="301" spans="8:10" ht="15.75">
      <c r="H301" s="4"/>
      <c r="J301" s="137"/>
    </row>
    <row r="302" spans="8:10" ht="15.75">
      <c r="H302" s="4"/>
      <c r="J302" s="137"/>
    </row>
    <row r="303" spans="8:10" ht="15.75">
      <c r="H303" s="4"/>
      <c r="J303" s="137"/>
    </row>
    <row r="304" spans="8:10" ht="15.75">
      <c r="H304" s="4"/>
      <c r="J304" s="137"/>
    </row>
    <row r="305" spans="8:10" ht="15.75">
      <c r="H305" s="4"/>
      <c r="J305" s="137"/>
    </row>
    <row r="306" spans="8:10" ht="15.75">
      <c r="H306" s="4"/>
      <c r="J306" s="137"/>
    </row>
    <row r="307" spans="8:10" ht="15.75">
      <c r="H307" s="4"/>
      <c r="J307" s="137"/>
    </row>
    <row r="308" spans="8:10" ht="15.75">
      <c r="H308" s="4"/>
      <c r="J308" s="137"/>
    </row>
    <row r="309" spans="8:10" ht="15.75">
      <c r="H309" s="4"/>
      <c r="J309" s="137"/>
    </row>
    <row r="310" spans="8:10" ht="15.75">
      <c r="H310" s="4"/>
      <c r="J310" s="137"/>
    </row>
    <row r="311" spans="8:10" ht="15.75">
      <c r="H311" s="4"/>
      <c r="J311" s="137"/>
    </row>
    <row r="312" spans="8:10" ht="15.75">
      <c r="H312" s="4"/>
      <c r="J312" s="137"/>
    </row>
    <row r="313" spans="8:10" ht="15.75">
      <c r="H313" s="4"/>
      <c r="J313" s="137"/>
    </row>
    <row r="314" spans="8:10" ht="15.75">
      <c r="H314" s="4"/>
      <c r="J314" s="137"/>
    </row>
    <row r="315" spans="8:10" ht="15.75">
      <c r="H315" s="4"/>
      <c r="J315" s="137"/>
    </row>
    <row r="316" spans="8:10" ht="15.75">
      <c r="H316" s="4"/>
      <c r="J316" s="137"/>
    </row>
    <row r="317" spans="8:10" ht="15.75">
      <c r="H317" s="4"/>
      <c r="J317" s="137"/>
    </row>
    <row r="318" spans="8:10" ht="15.75">
      <c r="H318" s="4"/>
      <c r="J318" s="137"/>
    </row>
    <row r="319" spans="8:10" ht="15.75">
      <c r="H319" s="4"/>
      <c r="J319" s="137"/>
    </row>
    <row r="320" spans="8:10" ht="15.75">
      <c r="H320" s="4"/>
      <c r="J320" s="137"/>
    </row>
    <row r="321" spans="8:10" ht="15.75">
      <c r="H321" s="4"/>
      <c r="J321" s="137"/>
    </row>
    <row r="322" spans="8:10" ht="15.75">
      <c r="H322" s="4"/>
      <c r="J322" s="137"/>
    </row>
    <row r="323" spans="8:10" ht="15.75">
      <c r="H323" s="4"/>
      <c r="J323" s="137"/>
    </row>
    <row r="324" spans="8:10" ht="15.75">
      <c r="H324" s="4"/>
      <c r="J324" s="137"/>
    </row>
    <row r="325" spans="8:10" ht="15.75">
      <c r="H325" s="4"/>
      <c r="J325" s="137"/>
    </row>
    <row r="326" spans="8:10" ht="15.75">
      <c r="H326" s="4"/>
      <c r="J326" s="137"/>
    </row>
    <row r="327" spans="8:10" ht="15.75">
      <c r="H327" s="4"/>
      <c r="J327" s="137"/>
    </row>
    <row r="328" spans="8:10" ht="15.75">
      <c r="H328" s="4"/>
      <c r="J328" s="137"/>
    </row>
    <row r="329" spans="8:10" ht="15.75">
      <c r="H329" s="4"/>
      <c r="J329" s="137"/>
    </row>
    <row r="330" spans="8:10" ht="15.75">
      <c r="H330" s="4"/>
      <c r="J330" s="137"/>
    </row>
    <row r="331" spans="8:10" ht="15.75">
      <c r="H331" s="4"/>
      <c r="J331" s="137"/>
    </row>
    <row r="332" spans="8:10" ht="15.75">
      <c r="H332" s="4"/>
      <c r="J332" s="137"/>
    </row>
    <row r="333" spans="8:10" ht="15.75">
      <c r="H333" s="4"/>
      <c r="J333" s="137"/>
    </row>
    <row r="334" spans="8:10" ht="15.75">
      <c r="H334" s="4"/>
      <c r="J334" s="137"/>
    </row>
    <row r="335" spans="8:10" ht="15.75">
      <c r="H335" s="4"/>
      <c r="J335" s="137"/>
    </row>
    <row r="336" spans="8:10" ht="15.75">
      <c r="H336" s="4"/>
      <c r="J336" s="137"/>
    </row>
    <row r="337" spans="8:10" ht="15.75">
      <c r="H337" s="4"/>
      <c r="J337" s="137"/>
    </row>
    <row r="338" spans="8:10" ht="15.75">
      <c r="H338" s="4"/>
      <c r="J338" s="137"/>
    </row>
    <row r="339" spans="8:10" ht="15.75">
      <c r="H339" s="4"/>
      <c r="J339" s="137"/>
    </row>
    <row r="340" spans="8:10" ht="15.75">
      <c r="H340" s="4"/>
      <c r="J340" s="137"/>
    </row>
    <row r="341" spans="8:10" ht="15.75">
      <c r="H341" s="4"/>
      <c r="J341" s="137"/>
    </row>
    <row r="342" spans="8:10" ht="15.75">
      <c r="H342" s="4"/>
      <c r="J342" s="137"/>
    </row>
    <row r="343" spans="8:10" ht="15.75">
      <c r="H343" s="4"/>
      <c r="J343" s="137"/>
    </row>
    <row r="344" spans="8:10" ht="15.75">
      <c r="H344" s="4"/>
      <c r="J344" s="137"/>
    </row>
    <row r="345" spans="8:10" ht="15.75">
      <c r="H345" s="4"/>
      <c r="J345" s="137"/>
    </row>
    <row r="346" spans="8:10" ht="15.75">
      <c r="H346" s="4"/>
      <c r="J346" s="137"/>
    </row>
    <row r="347" spans="8:10" ht="15.75">
      <c r="H347" s="4"/>
      <c r="J347" s="137"/>
    </row>
    <row r="348" spans="8:10" ht="15.75">
      <c r="H348" s="4"/>
      <c r="J348" s="137"/>
    </row>
    <row r="349" spans="8:10" ht="15.75">
      <c r="H349" s="4"/>
      <c r="J349" s="137"/>
    </row>
    <row r="350" spans="8:10" ht="15.75">
      <c r="H350" s="4"/>
      <c r="J350" s="137"/>
    </row>
    <row r="351" spans="8:10" ht="15.75">
      <c r="H351" s="4"/>
      <c r="J351" s="137"/>
    </row>
    <row r="352" spans="8:10" ht="15.75">
      <c r="H352" s="4"/>
      <c r="J352" s="137"/>
    </row>
    <row r="353" spans="8:10" ht="15.75">
      <c r="H353" s="4"/>
      <c r="J353" s="137"/>
    </row>
    <row r="354" spans="8:10" ht="15.75">
      <c r="H354" s="4"/>
      <c r="J354" s="137"/>
    </row>
    <row r="355" spans="8:10" ht="15.75">
      <c r="H355" s="4"/>
      <c r="J355" s="137"/>
    </row>
    <row r="356" spans="8:10" ht="15.75">
      <c r="H356" s="4"/>
      <c r="J356" s="137"/>
    </row>
    <row r="357" spans="8:10" ht="15.75">
      <c r="H357" s="4"/>
      <c r="J357" s="137"/>
    </row>
    <row r="358" spans="8:10" ht="15.75">
      <c r="H358" s="4"/>
      <c r="J358" s="137"/>
    </row>
    <row r="359" spans="8:10" ht="15.75">
      <c r="H359" s="4"/>
      <c r="J359" s="137"/>
    </row>
    <row r="360" spans="8:10" ht="15.75">
      <c r="H360" s="4"/>
      <c r="J360" s="137"/>
    </row>
    <row r="361" spans="8:10" ht="15.75">
      <c r="H361" s="4"/>
      <c r="J361" s="137"/>
    </row>
    <row r="362" spans="8:10" ht="15.75">
      <c r="H362" s="4"/>
      <c r="J362" s="137"/>
    </row>
    <row r="363" spans="8:10" ht="15.75">
      <c r="H363" s="4"/>
      <c r="J363" s="137"/>
    </row>
    <row r="364" spans="8:10" ht="15.75">
      <c r="H364" s="4"/>
      <c r="J364" s="137"/>
    </row>
    <row r="365" spans="8:10" ht="15.75">
      <c r="H365" s="4"/>
      <c r="J365" s="137"/>
    </row>
    <row r="366" spans="8:10" ht="15.75">
      <c r="H366" s="4"/>
      <c r="J366" s="137"/>
    </row>
    <row r="367" spans="8:10" ht="15.75">
      <c r="H367" s="4"/>
      <c r="J367" s="137"/>
    </row>
    <row r="368" spans="8:10" ht="15.75">
      <c r="H368" s="4"/>
      <c r="J368" s="137"/>
    </row>
    <row r="369" spans="8:10" ht="15.75">
      <c r="H369" s="4"/>
      <c r="J369" s="137"/>
    </row>
    <row r="370" spans="8:10" ht="15.75">
      <c r="H370" s="4"/>
      <c r="J370" s="137"/>
    </row>
    <row r="371" ht="15.75">
      <c r="J371" s="137"/>
    </row>
    <row r="372" ht="15.75">
      <c r="J372" s="137"/>
    </row>
    <row r="373" ht="15.75">
      <c r="J373" s="137"/>
    </row>
    <row r="374" ht="15.75">
      <c r="J374" s="137"/>
    </row>
    <row r="375" ht="15.75">
      <c r="J375" s="137"/>
    </row>
    <row r="376" ht="15.75">
      <c r="J376" s="137"/>
    </row>
    <row r="377" ht="15.75">
      <c r="J377" s="137"/>
    </row>
    <row r="378" ht="15.75">
      <c r="J378" s="137"/>
    </row>
    <row r="379" ht="15.75">
      <c r="J379" s="137"/>
    </row>
    <row r="380" ht="15.75">
      <c r="J380" s="137"/>
    </row>
    <row r="381" ht="15.75">
      <c r="J381" s="137"/>
    </row>
    <row r="382" ht="15.75">
      <c r="J382" s="137"/>
    </row>
    <row r="383" ht="15.75">
      <c r="J383" s="137"/>
    </row>
    <row r="384" ht="15.75">
      <c r="J384" s="137"/>
    </row>
    <row r="385" ht="15.75">
      <c r="J385" s="137"/>
    </row>
    <row r="386" ht="15.75">
      <c r="J386" s="137"/>
    </row>
    <row r="387" ht="15.75">
      <c r="J387" s="137"/>
    </row>
    <row r="388" ht="15.75">
      <c r="J388" s="137"/>
    </row>
    <row r="389" ht="15.75">
      <c r="J389" s="137"/>
    </row>
    <row r="390" ht="15.75">
      <c r="J390" s="137"/>
    </row>
    <row r="391" ht="15.75">
      <c r="J391" s="137"/>
    </row>
    <row r="392" ht="15.75">
      <c r="J392" s="137"/>
    </row>
    <row r="393" ht="15.75">
      <c r="J393" s="137"/>
    </row>
    <row r="394" ht="15.75">
      <c r="J394" s="137"/>
    </row>
    <row r="395" ht="15.75">
      <c r="J395" s="137"/>
    </row>
    <row r="396" ht="15.75">
      <c r="J396" s="137"/>
    </row>
    <row r="397" ht="15.75">
      <c r="J397" s="137"/>
    </row>
  </sheetData>
  <sheetProtection selectLockedCells="1" selectUnlockedCells="1"/>
  <mergeCells count="11">
    <mergeCell ref="B4:I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5902777777777778" right="0.7083333333333334" top="0.7083333333333334" bottom="0.7083333333333334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2019-12-26T12:19:31Z</cp:lastPrinted>
  <dcterms:modified xsi:type="dcterms:W3CDTF">2020-04-21T12:42:06Z</dcterms:modified>
  <cp:category/>
  <cp:version/>
  <cp:contentType/>
  <cp:contentStatus/>
  <cp:revision>13</cp:revision>
</cp:coreProperties>
</file>