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500" activeTab="0"/>
  </bookViews>
  <sheets>
    <sheet name="2021" sheetId="1" r:id="rId1"/>
  </sheets>
  <definedNames>
    <definedName name="OLE_LINK1" localSheetId="0">'2021'!$B$3</definedName>
  </definedNames>
  <calcPr fullCalcOnLoad="1"/>
</workbook>
</file>

<file path=xl/sharedStrings.xml><?xml version="1.0" encoding="utf-8"?>
<sst xmlns="http://schemas.openxmlformats.org/spreadsheetml/2006/main" count="938" uniqueCount="344">
  <si>
    <t>Приложение №7
к решению Совета народных депутатов города Струнино                                                       
от  14.12.2020   № 40</t>
  </si>
  <si>
    <t>Изменение в ведомственную структуру расходов бюджета города Струнино 
на 2021 год</t>
  </si>
  <si>
    <t>Код главного распорядителя средств районного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</si>
  <si>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</si>
  <si>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</si>
  <si>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</si>
  <si>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</si>
  <si>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</si>
  <si>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 xml:space="preserve">
 решение СНД   
от 06.12.2018        №  56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</si>
  <si>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</si>
  <si>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</si>
  <si>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   .09.19        № </t>
  </si>
  <si>
    <t>Сумма на 2021 год, тыс. руб.</t>
  </si>
  <si>
    <t>Изменения, тыс. руб.</t>
  </si>
  <si>
    <t>февраль</t>
  </si>
  <si>
    <t>Реш СНД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</si>
  <si>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</si>
  <si>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</si>
  <si>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</si>
  <si>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</si>
  <si>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</si>
  <si>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</si>
  <si>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</si>
  <si>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</si>
  <si>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</si>
  <si>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</si>
  <si>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</si>
  <si>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</si>
  <si>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</si>
  <si>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</si>
  <si>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</si>
  <si>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</si>
  <si>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</si>
  <si>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</si>
  <si>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</si>
  <si>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</si>
  <si>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</si>
  <si>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</si>
  <si>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</si>
  <si>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</si>
  <si>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</si>
  <si>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</si>
  <si>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</si>
  <si>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</si>
  <si>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</si>
  <si>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</si>
  <si>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</si>
  <si>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</si>
  <si>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</si>
  <si>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</si>
  <si>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</si>
  <si>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</si>
  <si>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</si>
  <si>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</si>
  <si>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</si>
  <si>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</si>
  <si>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</si>
  <si>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</si>
  <si>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</si>
  <si>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</si>
  <si>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</si>
  <si>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</si>
  <si>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</si>
  <si>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</si>
  <si>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</si>
  <si>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</si>
  <si>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</si>
  <si>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</si>
  <si>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</si>
  <si>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</si>
  <si>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</si>
  <si>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</si>
  <si>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</si>
  <si>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</si>
  <si>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</si>
  <si>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</si>
  <si>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</si>
  <si>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</si>
  <si>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</si>
  <si>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</si>
  <si>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</si>
  <si>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</si>
  <si>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</si>
  <si>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</si>
  <si>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</si>
  <si>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</si>
  <si>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</si>
  <si>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</si>
  <si>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</si>
  <si>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</si>
  <si>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</si>
  <si>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</si>
  <si>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</si>
  <si>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</si>
  <si>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</si>
  <si>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</si>
  <si>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</si>
  <si>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</si>
  <si>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</si>
  <si>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</si>
  <si>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</si>
  <si>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</si>
  <si>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</si>
  <si>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</si>
  <si>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</si>
  <si>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</si>
  <si>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</si>
  <si>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</si>
  <si>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</si>
  <si>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</si>
  <si>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</si>
  <si>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</si>
  <si>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</si>
  <si>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</si>
  <si>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</si>
  <si>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</si>
  <si>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</si>
  <si>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</si>
  <si>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</si>
  <si>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</si>
  <si>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</si>
  <si>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</si>
  <si>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</si>
  <si>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</si>
  <si>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</si>
  <si>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</si>
  <si>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</si>
  <si>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Осуществление дорожной деятельности по ремонту автомобильных дорог общего пользования местного значения  (Межбюджетные трансферты)</t>
  </si>
  <si>
    <t>07 0 01 S2460</t>
  </si>
  <si>
    <t>Прочие  мероприятия по осуществлению дорожной деятельности по ремонту автомобильных дорог общего пользования местного значения  (Межбюджетные трансферты)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</si>
  <si>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</si>
  <si>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</si>
  <si>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</si>
  <si>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</si>
  <si>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</si>
  <si>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</si>
  <si>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</si>
  <si>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</si>
  <si>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 xml:space="preserve"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в городе Струнино" </t>
  </si>
  <si>
    <t xml:space="preserve">25 </t>
  </si>
  <si>
    <t>Основное мероприятие  «Разработка проектно-сметной документации для строительства дороги в мкр.Северный г.Струнино»</t>
  </si>
  <si>
    <t>25 0 02</t>
  </si>
  <si>
    <t>Расходы на проведение мероприятий по разработке проектно-сметной документации для строительства дороги в мкр.Северный г.Струнино</t>
  </si>
  <si>
    <t>25 0 02 20055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</si>
  <si>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</si>
  <si>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99 9 01 20055</t>
  </si>
  <si>
    <t>Проведение мероприятий по оплате строительного контроля по ремонту дорог (Закупка товаров, работ и услуг для государственных (муниципальных) нужд)</t>
  </si>
  <si>
    <t>99 9 01 20085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</si>
  <si>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</si>
  <si>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</si>
  <si>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</si>
  <si>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</si>
  <si>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</si>
  <si>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</si>
  <si>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</si>
  <si>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</si>
  <si>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</si>
  <si>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</si>
  <si>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</si>
  <si>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</si>
  <si>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</si>
  <si>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</si>
  <si>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</si>
  <si>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</si>
  <si>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</si>
  <si>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</si>
  <si>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</si>
  <si>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</si>
  <si>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</si>
  <si>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</si>
  <si>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</si>
  <si>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</si>
  <si>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</si>
  <si>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</si>
  <si>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</si>
  <si>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</si>
  <si>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</si>
  <si>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</si>
  <si>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в том числе за счет средств местного бюджета</t>
  </si>
  <si>
    <r>
      <rPr>
        <sz val="12"/>
        <rFont val="Times New Roman"/>
        <family val="1"/>
      </rPr>
      <t xml:space="preserve">Расходы на иные мероприятия по обеспечению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</si>
  <si>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24 2 01 20080</t>
  </si>
  <si>
    <t>Жилищно-коммунальное хозяйство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</si>
  <si>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</si>
  <si>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</si>
  <si>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</si>
  <si>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</si>
  <si>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</si>
  <si>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</si>
  <si>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</si>
  <si>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</si>
  <si>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</si>
  <si>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</si>
  <si>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</si>
  <si>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</si>
  <si>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</si>
  <si>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</si>
  <si>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</si>
  <si>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Основное мероприятие «Проведение оценки  технического состояния элементов ограждающих и несущих конструкций жилого дома»</t>
  </si>
  <si>
    <t xml:space="preserve">12 1 02 </t>
  </si>
  <si>
    <r>
      <rPr>
        <sz val="12"/>
        <color indexed="8"/>
        <rFont val="Times New Roman"/>
        <family val="1"/>
      </rPr>
      <t>Расходы на проведение оценки</t>
    </r>
    <r>
      <rPr>
        <sz val="12"/>
        <color indexed="8"/>
        <rFont val="Times New Roman"/>
        <family val="1"/>
      </rPr>
      <t xml:space="preserve"> технического состояния элементов ограждающих и несущих конструкций жилого дома (Закупка товаров, работ и услуг для государственных (муниципальных) нужд)</t>
    </r>
  </si>
  <si>
    <t>12 1 02 20020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</si>
  <si>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</si>
  <si>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</si>
  <si>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</si>
  <si>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</si>
  <si>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</si>
  <si>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</si>
  <si>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</si>
  <si>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</si>
  <si>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</si>
  <si>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</si>
  <si>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</si>
  <si>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</si>
  <si>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</si>
  <si>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</si>
  <si>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</si>
  <si>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</si>
  <si>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</si>
  <si>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</si>
  <si>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</si>
  <si>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</si>
  <si>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</si>
  <si>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</si>
  <si>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</si>
  <si>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</si>
  <si>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06</t>
  </si>
  <si>
    <t xml:space="preserve">06 0 02 </t>
  </si>
  <si>
    <t>06 0 02 20120</t>
  </si>
  <si>
    <t xml:space="preserve">06 0 03 </t>
  </si>
  <si>
    <t>06 0 03 20130</t>
  </si>
  <si>
    <t>06 0 04</t>
  </si>
  <si>
    <t>06 0 04 20131</t>
  </si>
  <si>
    <t>06 0 05</t>
  </si>
  <si>
    <t>06 0 05 20132</t>
  </si>
  <si>
    <t>14 0 F2</t>
  </si>
  <si>
    <t>14 0 04</t>
  </si>
  <si>
    <t>14 0 04 20137</t>
  </si>
  <si>
    <t>06 0 06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</si>
  <si>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</si>
  <si>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</si>
  <si>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</si>
  <si>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</si>
  <si>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</si>
  <si>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</si>
  <si>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</si>
  <si>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</si>
  <si>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15 0 01 60160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</si>
  <si>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</si>
  <si>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</si>
  <si>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</si>
  <si>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</si>
  <si>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6Д590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</si>
  <si>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</si>
  <si>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6Б590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</si>
  <si>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</si>
  <si>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</si>
  <si>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</si>
  <si>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</si>
  <si>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</si>
  <si>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</si>
  <si>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</si>
  <si>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</si>
  <si>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</si>
  <si>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</si>
  <si>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</si>
  <si>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</si>
  <si>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</si>
  <si>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20 0 01 60200</t>
  </si>
  <si>
    <t>Социальная политика</t>
  </si>
  <si>
    <t>Пенсионное обеспечение</t>
  </si>
  <si>
    <t>01 0 03</t>
  </si>
  <si>
    <t>Доплата к пенсии за выслугу лет (Социальное обеспечение и иные выплаты населению)</t>
  </si>
  <si>
    <t>01 0 03 80010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</si>
  <si>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</si>
  <si>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</si>
  <si>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</si>
  <si>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</si>
  <si>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</si>
  <si>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</si>
  <si>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</si>
  <si>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</si>
  <si>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</si>
  <si>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</si>
  <si>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</si>
  <si>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</si>
  <si>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</si>
  <si>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</si>
  <si>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</si>
  <si>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</si>
  <si>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</si>
  <si>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</si>
  <si>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</si>
  <si>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</si>
  <si>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</si>
  <si>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</si>
  <si>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18 0 01 60180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</si>
  <si>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</si>
  <si>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</si>
  <si>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Массовый спорт</t>
  </si>
  <si>
    <t>Основное мероприятие «Реконструкция стадиона МБУ «СДЮСОЦ» города Струнино</t>
  </si>
  <si>
    <t xml:space="preserve">18 0 P5 </t>
  </si>
  <si>
    <t>Расходы на мероприятия по реконструкции стадионаМБУ «СДЮСОЦ» города Струнино (Капитальные вложения в объекты  государственной (муниципальной) собственности)</t>
  </si>
  <si>
    <t>18 0 P5 5139S</t>
  </si>
  <si>
    <t>Основное мероприятие «Прочие мероприятия»</t>
  </si>
  <si>
    <t xml:space="preserve">18 0 02 </t>
  </si>
  <si>
    <t>Стр-ль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</si>
  <si>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</si>
  <si>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18 0 02 60180</t>
  </si>
  <si>
    <t>Территориальная избирательная комиссия Александровского района</t>
  </si>
  <si>
    <t>Обеспечение проведения выборов и референдумов</t>
  </si>
  <si>
    <t xml:space="preserve">01 </t>
  </si>
  <si>
    <t>Расходы на проведение выборов в представительные органы муниципального образования (Иные бюджетные ассигнования)</t>
  </si>
  <si>
    <t>99 9 00 20170</t>
  </si>
  <si>
    <t>ИТОГО расходов</t>
  </si>
  <si>
    <t>15 0 А2</t>
  </si>
  <si>
    <t>15 0 А2 7184S</t>
  </si>
  <si>
    <t>Основное мероприятие "Доплата к пенсии за выслугу лет"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</si>
  <si>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</si>
  <si>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  Федеральный проект «Творческие люди» национального проекта "Культура"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</si>
  <si>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</si>
  <si>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Изменения, тыс.руб.</t>
  </si>
  <si>
    <t>Мероприятия на поддержку любительских творческих коллективов ( Предоставление субсидий бюджетным, автономным учреждениям и иным некоммерческим организациям)</t>
  </si>
  <si>
    <t>Благоустройство</t>
  </si>
  <si>
    <t>Основное мероприятие "Проведение противопожарных мероприятий "</t>
  </si>
  <si>
    <t>Основное мероприятие "Уличное освещение"</t>
  </si>
  <si>
    <t>Уличное освещение (Закупка товаров, работ и услуг для государственных (муниципальных) нужд)</t>
  </si>
  <si>
    <t>Основное мероприятие "Организация и содержание мест захоронений"</t>
  </si>
  <si>
    <t>Благоустройство мест захоронений  (Закупка товаров, работ и услуг для государственных (муниципальных) нужд)</t>
  </si>
  <si>
    <t>Основное мероприятие "Прочие мероприятия по благоустройству территории"</t>
  </si>
  <si>
    <t>Прочие мероприятия по благоустройству (Закупка товаров, работ и услуг для государственных (муниципальных) нужд)</t>
  </si>
  <si>
    <t>Основное мероприятие "Содержание сетей уличного освещения"</t>
  </si>
  <si>
    <t>Содержание сетей уличного освещения (Закупка товаров, работ и услуг для государственных (муниципальных) нужд)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</si>
  <si>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</si>
  <si>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</si>
  <si>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Основное мероприятие "Прочие мероприятия по благоустройству территорий"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</si>
  <si>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</si>
  <si>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Другие вопросы в области жилищно-коммунального хозяйства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</si>
  <si>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</si>
  <si>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</si>
  <si>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</si>
  <si>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Ликвидация стихийных свалок (Закупка товаров, работ и услуг для государственных (муниципальных) нужд)</t>
  </si>
  <si>
    <t>14 0 F2 5555D</t>
  </si>
  <si>
    <t>Субсидии на реализацию программ формирования современной городской среды (Закупка товаров, работ и услуг для государственных (муниципальных) нужд)</t>
  </si>
  <si>
    <t>Приложение №3
к решению Совета народных депутатов города Струнино                                                       
от 17.08.2021    № 39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</si>
</sst>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000000"/>
    <numFmt numFmtId="166" formatCode="000"/>
    <numFmt numFmtId="167" formatCode="0.000"/>
    <numFmt numFmtId="168" formatCode="0.0000"/>
    <numFmt numFmtId="169" formatCode="0.0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3" applyNumberFormat="0" applyAlignment="0" applyProtection="0"/>
    <xf numFmtId="0" fontId="50" fillId="34" borderId="4" applyNumberFormat="0" applyAlignment="0" applyProtection="0"/>
    <xf numFmtId="0" fontId="51" fillId="34" borderId="3" applyNumberFormat="0" applyAlignment="0" applyProtection="0"/>
    <xf numFmtId="0" fontId="5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5" borderId="9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9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40" borderId="0" xfId="0" applyFill="1" applyAlignment="1">
      <alignment/>
    </xf>
    <xf numFmtId="0" fontId="0" fillId="26" borderId="0" xfId="0" applyFill="1" applyAlignment="1">
      <alignment/>
    </xf>
    <xf numFmtId="0" fontId="15" fillId="40" borderId="0" xfId="0" applyFont="1" applyFill="1" applyAlignment="1">
      <alignment/>
    </xf>
    <xf numFmtId="164" fontId="15" fillId="40" borderId="0" xfId="0" applyNumberFormat="1" applyFont="1" applyFill="1" applyAlignment="1">
      <alignment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19" fillId="26" borderId="0" xfId="0" applyFont="1" applyFill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20" fillId="0" borderId="2" xfId="0" applyNumberFormat="1" applyFont="1" applyFill="1" applyBorder="1" applyAlignment="1">
      <alignment horizontal="center" vertical="center" wrapText="1"/>
    </xf>
    <xf numFmtId="49" fontId="19" fillId="4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center" vertical="center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19" fillId="40" borderId="2" xfId="0" applyNumberFormat="1" applyFont="1" applyFill="1" applyBorder="1" applyAlignment="1">
      <alignment horizontal="center" vertical="center" wrapText="1"/>
    </xf>
    <xf numFmtId="164" fontId="19" fillId="26" borderId="2" xfId="0" applyNumberFormat="1" applyFont="1" applyFill="1" applyBorder="1" applyAlignment="1">
      <alignment horizontal="center" vertical="center" wrapText="1"/>
    </xf>
    <xf numFmtId="164" fontId="19" fillId="4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19" fillId="40" borderId="2" xfId="0" applyNumberFormat="1" applyFont="1" applyFill="1" applyBorder="1" applyAlignment="1">
      <alignment horizontal="left" vertical="center" wrapText="1"/>
    </xf>
    <xf numFmtId="2" fontId="19" fillId="26" borderId="2" xfId="0" applyNumberFormat="1" applyFont="1" applyFill="1" applyBorder="1" applyAlignment="1">
      <alignment horizontal="center" vertical="center" wrapText="1"/>
    </xf>
    <xf numFmtId="167" fontId="19" fillId="4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top" wrapText="1"/>
    </xf>
    <xf numFmtId="49" fontId="23" fillId="40" borderId="2" xfId="0" applyNumberFormat="1" applyFont="1" applyFill="1" applyBorder="1" applyAlignment="1">
      <alignment horizontal="center" vertical="center" wrapText="1"/>
    </xf>
    <xf numFmtId="49" fontId="23" fillId="40" borderId="2" xfId="0" applyNumberFormat="1" applyFont="1" applyFill="1" applyBorder="1" applyAlignment="1">
      <alignment horizontal="left" vertical="center" wrapText="1"/>
    </xf>
    <xf numFmtId="2" fontId="23" fillId="40" borderId="2" xfId="0" applyNumberFormat="1" applyFont="1" applyFill="1" applyBorder="1" applyAlignment="1">
      <alignment horizontal="center" vertical="center" wrapText="1"/>
    </xf>
    <xf numFmtId="2" fontId="23" fillId="26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vertical="top" wrapText="1"/>
    </xf>
    <xf numFmtId="0" fontId="22" fillId="0" borderId="13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167" fontId="19" fillId="26" borderId="2" xfId="0" applyNumberFormat="1" applyFont="1" applyFill="1" applyBorder="1" applyAlignment="1">
      <alignment horizontal="center" vertical="center" wrapText="1"/>
    </xf>
    <xf numFmtId="0" fontId="23" fillId="40" borderId="2" xfId="0" applyFont="1" applyFill="1" applyBorder="1" applyAlignment="1">
      <alignment horizontal="left" vertical="top" wrapText="1"/>
    </xf>
    <xf numFmtId="167" fontId="23" fillId="26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/>
    </xf>
    <xf numFmtId="2" fontId="23" fillId="40" borderId="2" xfId="0" applyNumberFormat="1" applyFont="1" applyFill="1" applyBorder="1" applyAlignment="1">
      <alignment horizontal="center" vertical="center"/>
    </xf>
    <xf numFmtId="167" fontId="23" fillId="26" borderId="2" xfId="0" applyNumberFormat="1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left" vertical="top" wrapText="1"/>
    </xf>
    <xf numFmtId="2" fontId="23" fillId="0" borderId="2" xfId="0" applyNumberFormat="1" applyFont="1" applyBorder="1" applyAlignment="1">
      <alignment horizontal="center" vertical="center"/>
    </xf>
    <xf numFmtId="2" fontId="23" fillId="26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 vertical="center"/>
    </xf>
    <xf numFmtId="2" fontId="23" fillId="0" borderId="13" xfId="0" applyNumberFormat="1" applyFont="1" applyBorder="1" applyAlignment="1">
      <alignment horizontal="center" vertical="center"/>
    </xf>
    <xf numFmtId="167" fontId="23" fillId="26" borderId="13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top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2" fontId="19" fillId="40" borderId="2" xfId="0" applyNumberFormat="1" applyFont="1" applyFill="1" applyBorder="1" applyAlignment="1">
      <alignment horizontal="center" vertical="center"/>
    </xf>
    <xf numFmtId="2" fontId="19" fillId="26" borderId="2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top" wrapText="1"/>
    </xf>
    <xf numFmtId="2" fontId="22" fillId="40" borderId="2" xfId="0" applyNumberFormat="1" applyFont="1" applyFill="1" applyBorder="1" applyAlignment="1">
      <alignment horizontal="center" vertical="center"/>
    </xf>
    <xf numFmtId="2" fontId="22" fillId="26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164" fontId="19" fillId="26" borderId="2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left" vertical="center"/>
    </xf>
    <xf numFmtId="2" fontId="23" fillId="40" borderId="14" xfId="0" applyNumberFormat="1" applyFont="1" applyFill="1" applyBorder="1" applyAlignment="1">
      <alignment horizontal="center" vertical="center"/>
    </xf>
    <xf numFmtId="2" fontId="23" fillId="26" borderId="1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9" fillId="0" borderId="2" xfId="0" applyFont="1" applyFill="1" applyBorder="1" applyAlignment="1">
      <alignment horizontal="left" vertical="top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8" fontId="23" fillId="26" borderId="2" xfId="0" applyNumberFormat="1" applyFont="1" applyFill="1" applyBorder="1" applyAlignment="1">
      <alignment horizontal="center" vertical="center"/>
    </xf>
    <xf numFmtId="0" fontId="22" fillId="40" borderId="2" xfId="102" applyFont="1" applyFill="1" applyBorder="1" applyAlignment="1">
      <alignment horizontal="left" vertical="top" wrapText="1"/>
      <protection/>
    </xf>
    <xf numFmtId="164" fontId="22" fillId="26" borderId="2" xfId="0" applyNumberFormat="1" applyFont="1" applyFill="1" applyBorder="1" applyAlignment="1">
      <alignment horizontal="center" vertical="center"/>
    </xf>
    <xf numFmtId="164" fontId="20" fillId="40" borderId="2" xfId="0" applyNumberFormat="1" applyFont="1" applyFill="1" applyBorder="1" applyAlignment="1">
      <alignment horizontal="center" vertical="center" wrapText="1"/>
    </xf>
    <xf numFmtId="167" fontId="20" fillId="40" borderId="2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/>
    </xf>
    <xf numFmtId="49" fontId="19" fillId="0" borderId="13" xfId="0" applyNumberFormat="1" applyFont="1" applyFill="1" applyBorder="1" applyAlignment="1">
      <alignment horizontal="center" vertical="top"/>
    </xf>
    <xf numFmtId="2" fontId="19" fillId="0" borderId="2" xfId="0" applyNumberFormat="1" applyFont="1" applyFill="1" applyBorder="1" applyAlignment="1">
      <alignment horizontal="center" vertical="top"/>
    </xf>
    <xf numFmtId="167" fontId="19" fillId="0" borderId="2" xfId="0" applyNumberFormat="1" applyFont="1" applyFill="1" applyBorder="1" applyAlignment="1">
      <alignment horizontal="center" vertical="top"/>
    </xf>
    <xf numFmtId="0" fontId="22" fillId="40" borderId="2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left" vertical="top"/>
    </xf>
    <xf numFmtId="49" fontId="23" fillId="0" borderId="13" xfId="0" applyNumberFormat="1" applyFont="1" applyBorder="1" applyAlignment="1">
      <alignment horizontal="center" vertical="top"/>
    </xf>
    <xf numFmtId="2" fontId="23" fillId="40" borderId="2" xfId="0" applyNumberFormat="1" applyFont="1" applyFill="1" applyBorder="1" applyAlignment="1">
      <alignment horizontal="center" vertical="top"/>
    </xf>
    <xf numFmtId="167" fontId="23" fillId="26" borderId="2" xfId="0" applyNumberFormat="1" applyFont="1" applyFill="1" applyBorder="1" applyAlignment="1">
      <alignment horizontal="center" vertical="top"/>
    </xf>
    <xf numFmtId="164" fontId="20" fillId="40" borderId="2" xfId="0" applyNumberFormat="1" applyFont="1" applyFill="1" applyBorder="1" applyAlignment="1">
      <alignment horizontal="center" vertical="top" wrapText="1"/>
    </xf>
    <xf numFmtId="168" fontId="22" fillId="0" borderId="2" xfId="0" applyNumberFormat="1" applyFont="1" applyFill="1" applyBorder="1" applyAlignment="1">
      <alignment horizontal="center" vertical="center" wrapText="1"/>
    </xf>
    <xf numFmtId="49" fontId="23" fillId="0" borderId="2" xfId="103" applyNumberFormat="1" applyFont="1" applyFill="1" applyBorder="1" applyAlignment="1">
      <alignment horizontal="left" vertical="center"/>
      <protection/>
    </xf>
    <xf numFmtId="167" fontId="23" fillId="0" borderId="2" xfId="0" applyNumberFormat="1" applyFont="1" applyFill="1" applyBorder="1" applyAlignment="1">
      <alignment horizontal="center" vertical="center"/>
    </xf>
    <xf numFmtId="168" fontId="19" fillId="26" borderId="2" xfId="0" applyNumberFormat="1" applyFont="1" applyFill="1" applyBorder="1" applyAlignment="1">
      <alignment horizontal="center" vertical="center"/>
    </xf>
    <xf numFmtId="167" fontId="19" fillId="26" borderId="2" xfId="0" applyNumberFormat="1" applyFont="1" applyFill="1" applyBorder="1" applyAlignment="1">
      <alignment horizontal="center" vertical="center"/>
    </xf>
    <xf numFmtId="0" fontId="23" fillId="26" borderId="2" xfId="0" applyNumberFormat="1" applyFont="1" applyFill="1" applyBorder="1" applyAlignment="1">
      <alignment horizontal="center" vertical="center"/>
    </xf>
    <xf numFmtId="0" fontId="22" fillId="40" borderId="2" xfId="0" applyFont="1" applyFill="1" applyBorder="1" applyAlignment="1">
      <alignment horizontal="left" vertical="top" wrapText="1"/>
    </xf>
    <xf numFmtId="49" fontId="22" fillId="0" borderId="2" xfId="0" applyNumberFormat="1" applyFont="1" applyBorder="1" applyAlignment="1">
      <alignment horizontal="center" vertical="center"/>
    </xf>
    <xf numFmtId="0" fontId="20" fillId="40" borderId="2" xfId="0" applyFont="1" applyFill="1" applyBorder="1" applyAlignment="1">
      <alignment horizontal="left" vertical="top" wrapText="1"/>
    </xf>
    <xf numFmtId="167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top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top"/>
    </xf>
    <xf numFmtId="167" fontId="1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164" fontId="20" fillId="26" borderId="2" xfId="0" applyNumberFormat="1" applyFont="1" applyFill="1" applyBorder="1" applyAlignment="1">
      <alignment horizontal="center" vertical="center"/>
    </xf>
    <xf numFmtId="168" fontId="19" fillId="40" borderId="2" xfId="0" applyNumberFormat="1" applyFont="1" applyFill="1" applyBorder="1" applyAlignment="1">
      <alignment horizontal="center" vertical="center" wrapText="1"/>
    </xf>
    <xf numFmtId="168" fontId="22" fillId="26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 wrapText="1"/>
    </xf>
    <xf numFmtId="164" fontId="23" fillId="26" borderId="2" xfId="0" applyNumberFormat="1" applyFont="1" applyFill="1" applyBorder="1" applyAlignment="1">
      <alignment horizontal="center" vertical="center"/>
    </xf>
    <xf numFmtId="169" fontId="20" fillId="0" borderId="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left" vertical="center"/>
    </xf>
    <xf numFmtId="2" fontId="23" fillId="26" borderId="13" xfId="0" applyNumberFormat="1" applyFont="1" applyFill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left" vertical="center"/>
    </xf>
    <xf numFmtId="2" fontId="20" fillId="0" borderId="2" xfId="0" applyNumberFormat="1" applyFont="1" applyBorder="1" applyAlignment="1">
      <alignment horizontal="center" vertical="center"/>
    </xf>
    <xf numFmtId="2" fontId="20" fillId="26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left" vertical="center"/>
    </xf>
    <xf numFmtId="2" fontId="22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left" vertical="center"/>
    </xf>
    <xf numFmtId="0" fontId="26" fillId="40" borderId="16" xfId="0" applyFont="1" applyFill="1" applyBorder="1" applyAlignment="1">
      <alignment vertical="top"/>
    </xf>
    <xf numFmtId="49" fontId="22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26" fillId="40" borderId="16" xfId="0" applyFont="1" applyFill="1" applyBorder="1" applyAlignment="1">
      <alignment/>
    </xf>
    <xf numFmtId="0" fontId="23" fillId="40" borderId="16" xfId="0" applyFont="1" applyFill="1" applyBorder="1" applyAlignment="1">
      <alignment wrapText="1"/>
    </xf>
    <xf numFmtId="0" fontId="20" fillId="40" borderId="2" xfId="0" applyNumberFormat="1" applyFont="1" applyFill="1" applyBorder="1" applyAlignment="1">
      <alignment horizontal="left" vertical="top" wrapText="1"/>
    </xf>
    <xf numFmtId="0" fontId="20" fillId="40" borderId="2" xfId="0" applyNumberFormat="1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left" vertical="center"/>
    </xf>
    <xf numFmtId="164" fontId="20" fillId="41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center" vertical="center"/>
    </xf>
    <xf numFmtId="167" fontId="23" fillId="40" borderId="2" xfId="0" applyNumberFormat="1" applyFont="1" applyFill="1" applyBorder="1" applyAlignment="1">
      <alignment horizontal="center" vertical="center" wrapText="1"/>
    </xf>
    <xf numFmtId="0" fontId="22" fillId="40" borderId="2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0" fontId="20" fillId="0" borderId="14" xfId="0" applyNumberFormat="1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left" vertical="center"/>
    </xf>
    <xf numFmtId="2" fontId="23" fillId="0" borderId="14" xfId="0" applyNumberFormat="1" applyFont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 vertical="center" wrapText="1"/>
    </xf>
    <xf numFmtId="0" fontId="26" fillId="40" borderId="17" xfId="0" applyFont="1" applyFill="1" applyBorder="1" applyAlignment="1">
      <alignment/>
    </xf>
    <xf numFmtId="49" fontId="19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2" xfId="0" applyFont="1" applyBorder="1" applyAlignment="1">
      <alignment horizontal="center" vertical="top"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49" fontId="22" fillId="0" borderId="15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vertical="top" wrapText="1"/>
    </xf>
    <xf numFmtId="2" fontId="66" fillId="42" borderId="2" xfId="0" applyNumberFormat="1" applyFont="1" applyFill="1" applyBorder="1" applyAlignment="1">
      <alignment horizontal="center" vertical="center" wrapText="1"/>
    </xf>
    <xf numFmtId="164" fontId="67" fillId="0" borderId="2" xfId="0" applyNumberFormat="1" applyFont="1" applyFill="1" applyBorder="1" applyAlignment="1">
      <alignment horizontal="center" vertical="center" wrapText="1"/>
    </xf>
    <xf numFmtId="168" fontId="20" fillId="0" borderId="2" xfId="0" applyNumberFormat="1" applyFont="1" applyFill="1" applyBorder="1" applyAlignment="1">
      <alignment horizontal="center" vertical="center" wrapText="1"/>
    </xf>
    <xf numFmtId="0" fontId="26" fillId="40" borderId="16" xfId="0" applyFont="1" applyFill="1" applyBorder="1" applyAlignment="1">
      <alignment wrapText="1"/>
    </xf>
    <xf numFmtId="0" fontId="23" fillId="43" borderId="16" xfId="0" applyFont="1" applyFill="1" applyBorder="1" applyAlignment="1">
      <alignment wrapText="1"/>
    </xf>
    <xf numFmtId="164" fontId="20" fillId="0" borderId="13" xfId="0" applyNumberFormat="1" applyFont="1" applyFill="1" applyBorder="1" applyAlignment="1">
      <alignment horizontal="center" vertical="center" wrapText="1"/>
    </xf>
    <xf numFmtId="0" fontId="26" fillId="40" borderId="16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20" fillId="0" borderId="15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2" fontId="22" fillId="26" borderId="13" xfId="0" applyNumberFormat="1" applyFont="1" applyFill="1" applyBorder="1" applyAlignment="1">
      <alignment horizontal="center" vertical="center"/>
    </xf>
    <xf numFmtId="167" fontId="23" fillId="4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top" wrapTex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left" vertical="center"/>
    </xf>
    <xf numFmtId="2" fontId="22" fillId="0" borderId="19" xfId="0" applyNumberFormat="1" applyFont="1" applyBorder="1" applyAlignment="1">
      <alignment horizontal="center" vertical="center"/>
    </xf>
    <xf numFmtId="2" fontId="22" fillId="26" borderId="19" xfId="0" applyNumberFormat="1" applyFont="1" applyFill="1" applyBorder="1" applyAlignment="1">
      <alignment horizontal="center" vertical="center"/>
    </xf>
    <xf numFmtId="167" fontId="19" fillId="40" borderId="19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top" wrapText="1"/>
    </xf>
    <xf numFmtId="49" fontId="19" fillId="0" borderId="19" xfId="0" applyNumberFormat="1" applyFont="1" applyBorder="1" applyAlignment="1">
      <alignment horizontal="center" vertical="center"/>
    </xf>
    <xf numFmtId="2" fontId="19" fillId="40" borderId="19" xfId="0" applyNumberFormat="1" applyFont="1" applyFill="1" applyBorder="1" applyAlignment="1">
      <alignment horizontal="center" vertical="center"/>
    </xf>
    <xf numFmtId="164" fontId="19" fillId="26" borderId="19" xfId="0" applyNumberFormat="1" applyFont="1" applyFill="1" applyBorder="1" applyAlignment="1">
      <alignment horizontal="center" vertical="center"/>
    </xf>
    <xf numFmtId="164" fontId="19" fillId="40" borderId="19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left" vertical="center"/>
    </xf>
    <xf numFmtId="2" fontId="19" fillId="26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top" wrapText="1"/>
    </xf>
    <xf numFmtId="2" fontId="23" fillId="40" borderId="19" xfId="0" applyNumberFormat="1" applyFont="1" applyFill="1" applyBorder="1" applyAlignment="1">
      <alignment horizontal="center" vertical="center"/>
    </xf>
    <xf numFmtId="2" fontId="23" fillId="26" borderId="19" xfId="0" applyNumberFormat="1" applyFont="1" applyFill="1" applyBorder="1" applyAlignment="1">
      <alignment horizontal="center" vertical="center"/>
    </xf>
    <xf numFmtId="0" fontId="22" fillId="40" borderId="19" xfId="0" applyNumberFormat="1" applyFont="1" applyFill="1" applyBorder="1" applyAlignment="1">
      <alignment vertical="top" wrapText="1"/>
    </xf>
    <xf numFmtId="2" fontId="23" fillId="0" borderId="19" xfId="0" applyNumberFormat="1" applyFont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left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left" vertical="center"/>
    </xf>
    <xf numFmtId="2" fontId="19" fillId="0" borderId="19" xfId="0" applyNumberFormat="1" applyFont="1" applyBorder="1" applyAlignment="1">
      <alignment horizontal="center" vertical="center"/>
    </xf>
    <xf numFmtId="0" fontId="22" fillId="40" borderId="19" xfId="102" applyFont="1" applyFill="1" applyBorder="1" applyAlignment="1">
      <alignment horizontal="left" vertical="top" wrapText="1"/>
      <protection/>
    </xf>
    <xf numFmtId="164" fontId="23" fillId="26" borderId="19" xfId="0" applyNumberFormat="1" applyFont="1" applyFill="1" applyBorder="1" applyAlignment="1">
      <alignment horizontal="center" vertical="center"/>
    </xf>
    <xf numFmtId="164" fontId="23" fillId="4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top" wrapText="1"/>
    </xf>
    <xf numFmtId="0" fontId="26" fillId="40" borderId="19" xfId="0" applyFont="1" applyFill="1" applyBorder="1" applyAlignment="1">
      <alignment vertical="top"/>
    </xf>
    <xf numFmtId="0" fontId="23" fillId="40" borderId="19" xfId="0" applyFont="1" applyFill="1" applyBorder="1" applyAlignment="1">
      <alignment vertical="top"/>
    </xf>
    <xf numFmtId="0" fontId="23" fillId="40" borderId="19" xfId="0" applyFont="1" applyFill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49" fontId="23" fillId="0" borderId="19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left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164" fontId="20" fillId="40" borderId="19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vertical="top"/>
    </xf>
    <xf numFmtId="0" fontId="22" fillId="0" borderId="19" xfId="0" applyFont="1" applyBorder="1" applyAlignment="1">
      <alignment vertical="top" wrapText="1"/>
    </xf>
    <xf numFmtId="167" fontId="23" fillId="40" borderId="19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left" vertical="center"/>
    </xf>
    <xf numFmtId="0" fontId="18" fillId="0" borderId="19" xfId="0" applyFont="1" applyBorder="1" applyAlignment="1">
      <alignment/>
    </xf>
    <xf numFmtId="0" fontId="18" fillId="40" borderId="19" xfId="0" applyFont="1" applyFill="1" applyBorder="1" applyAlignment="1">
      <alignment/>
    </xf>
    <xf numFmtId="0" fontId="18" fillId="26" borderId="19" xfId="0" applyFont="1" applyFill="1" applyBorder="1" applyAlignment="1">
      <alignment/>
    </xf>
    <xf numFmtId="2" fontId="27" fillId="0" borderId="19" xfId="0" applyNumberFormat="1" applyFont="1" applyFill="1" applyBorder="1" applyAlignment="1">
      <alignment horizontal="center"/>
    </xf>
    <xf numFmtId="164" fontId="27" fillId="0" borderId="19" xfId="0" applyNumberFormat="1" applyFont="1" applyFill="1" applyBorder="1" applyAlignment="1">
      <alignment horizontal="center"/>
    </xf>
    <xf numFmtId="0" fontId="22" fillId="40" borderId="2" xfId="0" applyFont="1" applyFill="1" applyBorder="1" applyAlignment="1">
      <alignment vertical="top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19" fillId="4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6" fontId="21" fillId="0" borderId="23" xfId="0" applyNumberFormat="1" applyFont="1" applyFill="1" applyBorder="1" applyAlignment="1">
      <alignment horizontal="center" vertical="center" wrapText="1"/>
    </xf>
    <xf numFmtId="0" fontId="20" fillId="40" borderId="2" xfId="0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20" fillId="26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3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9"/>
  <sheetViews>
    <sheetView tabSelected="1" zoomScale="95" zoomScaleNormal="95" zoomScalePageLayoutView="0" workbookViewId="0" topLeftCell="A1">
      <selection activeCell="E1" sqref="E1:L2"/>
    </sheetView>
  </sheetViews>
  <sheetFormatPr defaultColWidth="8.28125" defaultRowHeight="15"/>
  <cols>
    <col min="1" max="1" width="6.57421875" style="0" customWidth="1"/>
    <col min="2" max="2" width="46.8515625" style="0" customWidth="1"/>
    <col min="3" max="3" width="7.8515625" style="0" customWidth="1"/>
    <col min="4" max="4" width="10.00390625" style="0" customWidth="1"/>
    <col min="5" max="5" width="14.57421875" style="0" customWidth="1"/>
    <col min="6" max="6" width="9.28125" style="0" customWidth="1"/>
    <col min="7" max="7" width="7.57421875" style="1" hidden="1" customWidth="1"/>
    <col min="8" max="8" width="15.28125" style="1" hidden="1" customWidth="1"/>
    <col min="9" max="9" width="13.140625" style="2" hidden="1" customWidth="1"/>
    <col min="10" max="10" width="12.8515625" style="1" hidden="1" customWidth="1"/>
    <col min="11" max="11" width="0.13671875" style="1" hidden="1" customWidth="1"/>
    <col min="12" max="12" width="16.00390625" style="3" hidden="1" customWidth="1"/>
    <col min="13" max="13" width="15.421875" style="3" hidden="1" customWidth="1"/>
    <col min="14" max="14" width="19.00390625" style="4" hidden="1" customWidth="1"/>
    <col min="15" max="15" width="15.00390625" style="4" hidden="1" customWidth="1"/>
    <col min="16" max="16" width="18.57421875" style="4" customWidth="1"/>
    <col min="17" max="17" width="18.57421875" style="4" hidden="1" customWidth="1"/>
    <col min="18" max="18" width="8.57421875" style="0" customWidth="1"/>
    <col min="19" max="20" width="8.28125" style="0" customWidth="1"/>
    <col min="21" max="21" width="11.28125" style="0" customWidth="1"/>
    <col min="22" max="22" width="8.28125" style="0" customWidth="1"/>
    <col min="23" max="23" width="11.28125" style="0" customWidth="1"/>
  </cols>
  <sheetData>
    <row r="1" spans="5:12" ht="15" customHeight="1">
      <c r="E1" s="230" t="s">
        <v>343</v>
      </c>
      <c r="F1" s="230"/>
      <c r="G1" s="230"/>
      <c r="H1" s="230"/>
      <c r="I1" s="230"/>
      <c r="J1" s="230"/>
      <c r="K1" s="230"/>
      <c r="L1" s="230"/>
    </row>
    <row r="2" spans="5:12" ht="65.25" customHeight="1">
      <c r="E2" s="230"/>
      <c r="F2" s="230"/>
      <c r="G2" s="230"/>
      <c r="H2" s="230"/>
      <c r="I2" s="230"/>
      <c r="J2" s="230"/>
      <c r="K2" s="230"/>
      <c r="L2" s="230"/>
    </row>
    <row r="3" spans="2:17" ht="39.75" customHeight="1">
      <c r="B3" s="6"/>
      <c r="E3" s="230" t="s">
        <v>0</v>
      </c>
      <c r="F3" s="230"/>
      <c r="G3" s="230"/>
      <c r="H3" s="230"/>
      <c r="I3" s="230"/>
      <c r="J3" s="230"/>
      <c r="K3" s="230"/>
      <c r="L3" s="230"/>
      <c r="M3" s="5"/>
      <c r="N3" s="7"/>
      <c r="O3" s="7"/>
      <c r="P3" s="7"/>
      <c r="Q3" s="7"/>
    </row>
    <row r="4" spans="2:17" ht="65.25" customHeight="1">
      <c r="B4" s="8"/>
      <c r="C4" s="8"/>
      <c r="D4" s="8"/>
      <c r="E4" s="230"/>
      <c r="F4" s="230"/>
      <c r="G4" s="230"/>
      <c r="H4" s="230"/>
      <c r="I4" s="230"/>
      <c r="J4" s="230"/>
      <c r="K4" s="230"/>
      <c r="L4" s="230"/>
      <c r="M4" s="5"/>
      <c r="N4" s="7"/>
      <c r="O4" s="7"/>
      <c r="P4" s="7"/>
      <c r="Q4" s="7"/>
    </row>
    <row r="5" spans="2:17" ht="23.25" customHeight="1">
      <c r="B5" s="229" t="s">
        <v>1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2:17" ht="45" customHeight="1"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</row>
    <row r="7" spans="2:17" ht="6.75" customHeight="1">
      <c r="B7" s="9"/>
      <c r="C7" s="9"/>
      <c r="D7" s="9"/>
      <c r="E7" s="9"/>
      <c r="F7" s="9"/>
      <c r="G7" s="9"/>
      <c r="H7" s="9"/>
      <c r="I7" s="10"/>
      <c r="J7" s="9"/>
      <c r="K7" s="9"/>
      <c r="L7" s="11"/>
      <c r="M7" s="11"/>
      <c r="N7" s="12"/>
      <c r="O7" s="12"/>
      <c r="P7" s="12"/>
      <c r="Q7" s="12"/>
    </row>
    <row r="8" spans="1:17" ht="123" customHeight="1">
      <c r="A8" s="231" t="s">
        <v>2</v>
      </c>
      <c r="B8" s="232" t="s">
        <v>3</v>
      </c>
      <c r="C8" s="233" t="s">
        <v>4</v>
      </c>
      <c r="D8" s="233" t="s">
        <v>5</v>
      </c>
      <c r="E8" s="234" t="s">
        <v>6</v>
      </c>
      <c r="F8" s="235" t="s">
        <v>7</v>
      </c>
      <c r="G8" s="236" t="s">
        <v>8</v>
      </c>
      <c r="H8" s="236" t="s">
        <v>9</v>
      </c>
      <c r="I8" s="238" t="s">
        <v>10</v>
      </c>
      <c r="J8" s="236">
        <v>2019</v>
      </c>
      <c r="K8" s="238" t="s">
        <v>11</v>
      </c>
      <c r="L8" s="239" t="s">
        <v>12</v>
      </c>
      <c r="M8" s="239" t="s">
        <v>13</v>
      </c>
      <c r="N8" s="237" t="s">
        <v>14</v>
      </c>
      <c r="O8" s="13"/>
      <c r="P8" s="227" t="s">
        <v>320</v>
      </c>
      <c r="Q8" s="13" t="s">
        <v>15</v>
      </c>
    </row>
    <row r="9" spans="1:17" ht="17.25" customHeight="1">
      <c r="A9" s="231"/>
      <c r="B9" s="232"/>
      <c r="C9" s="233"/>
      <c r="D9" s="233"/>
      <c r="E9" s="234"/>
      <c r="F9" s="235"/>
      <c r="G9" s="236"/>
      <c r="H9" s="236"/>
      <c r="I9" s="238"/>
      <c r="J9" s="236"/>
      <c r="K9" s="238"/>
      <c r="L9" s="239"/>
      <c r="M9" s="239"/>
      <c r="N9" s="237"/>
      <c r="O9" s="13"/>
      <c r="P9" s="228"/>
      <c r="Q9" s="13"/>
    </row>
    <row r="10" spans="1:17" ht="33" customHeight="1">
      <c r="A10" s="14">
        <v>703</v>
      </c>
      <c r="B10" s="15" t="s">
        <v>16</v>
      </c>
      <c r="C10" s="16"/>
      <c r="D10" s="16"/>
      <c r="E10" s="17"/>
      <c r="F10" s="16"/>
      <c r="G10" s="18" t="e">
        <f>G11+G51+G57+G69+G122+#REF!+G177+G199+G215</f>
        <v>#REF!</v>
      </c>
      <c r="H10" s="18" t="e">
        <f>H11+H51+H57+H69+H122+#REF!+H177+H199+H215</f>
        <v>#REF!</v>
      </c>
      <c r="I10" s="19" t="e">
        <f>I11+I51+I57+I69+I122+#REF!+I177+I199+I215</f>
        <v>#REF!</v>
      </c>
      <c r="J10" s="20" t="e">
        <f>I10-H10</f>
        <v>#REF!</v>
      </c>
      <c r="K10" s="19" t="e">
        <f>K11+K51+K57+K69+K122+#REF!+K177+K199+K215</f>
        <v>#REF!</v>
      </c>
      <c r="L10" s="21" t="e">
        <f>L11+L51+L57+L69+L122+#REF!+L177+L199+L215</f>
        <v>#REF!</v>
      </c>
      <c r="M10" s="13" t="e">
        <f>M11+M51+M57+M69+M122+#REF!+M177+M199+M215</f>
        <v>#REF!</v>
      </c>
      <c r="N10" s="13" t="e">
        <f aca="true" t="shared" si="0" ref="N10:N95">L10+M10</f>
        <v>#REF!</v>
      </c>
      <c r="O10" s="13" t="e">
        <f>L10+M10</f>
        <v>#REF!</v>
      </c>
      <c r="P10" s="13">
        <f>P11+P51+P57+P69+P122+P177+P199+P215</f>
        <v>81909.09923999998</v>
      </c>
      <c r="Q10" s="13" t="e">
        <f>O10+P10</f>
        <v>#REF!</v>
      </c>
    </row>
    <row r="11" spans="1:17" ht="21" customHeight="1">
      <c r="A11" s="22"/>
      <c r="B11" s="23" t="s">
        <v>17</v>
      </c>
      <c r="C11" s="14" t="s">
        <v>18</v>
      </c>
      <c r="D11" s="24"/>
      <c r="E11" s="25"/>
      <c r="F11" s="24"/>
      <c r="G11" s="18" t="e">
        <f>G12+G20+G27+G31</f>
        <v>#REF!</v>
      </c>
      <c r="H11" s="18" t="e">
        <f>H12+H20+H27+H31</f>
        <v>#REF!</v>
      </c>
      <c r="I11" s="19" t="e">
        <f>I12+I20+I27+I31</f>
        <v>#REF!</v>
      </c>
      <c r="J11" s="20" t="e">
        <f>I11-H11+2</f>
        <v>#REF!</v>
      </c>
      <c r="K11" s="19" t="e">
        <f>K12+K20+K27+K31</f>
        <v>#REF!</v>
      </c>
      <c r="L11" s="21">
        <f>L12+L16+L20+L27+L31</f>
        <v>19836.5</v>
      </c>
      <c r="M11" s="21">
        <f>M31+M20</f>
        <v>535.9</v>
      </c>
      <c r="N11" s="21">
        <f t="shared" si="0"/>
        <v>20372.4</v>
      </c>
      <c r="O11" s="13">
        <f>L11+M11</f>
        <v>20372.4</v>
      </c>
      <c r="P11" s="13">
        <f>P12+P16+P20+P27+P31</f>
        <v>634.88642</v>
      </c>
      <c r="Q11" s="13">
        <f>O11+P11</f>
        <v>21007.28642</v>
      </c>
    </row>
    <row r="12" spans="1:17" ht="63" hidden="1">
      <c r="A12" s="22"/>
      <c r="B12" s="23" t="s">
        <v>19</v>
      </c>
      <c r="C12" s="14" t="s">
        <v>18</v>
      </c>
      <c r="D12" s="14" t="s">
        <v>20</v>
      </c>
      <c r="E12" s="26"/>
      <c r="F12" s="14"/>
      <c r="G12" s="18" t="e">
        <f aca="true" t="shared" si="1" ref="G12:I13">G13</f>
        <v>#REF!</v>
      </c>
      <c r="H12" s="18" t="e">
        <f t="shared" si="1"/>
        <v>#REF!</v>
      </c>
      <c r="I12" s="27" t="e">
        <f t="shared" si="1"/>
        <v>#REF!</v>
      </c>
      <c r="J12" s="28" t="e">
        <f>I12-H12</f>
        <v>#REF!</v>
      </c>
      <c r="K12" s="27" t="e">
        <f>K13</f>
        <v>#REF!</v>
      </c>
      <c r="L12" s="21">
        <f>L13</f>
        <v>966</v>
      </c>
      <c r="M12" s="21"/>
      <c r="N12" s="21">
        <f t="shared" si="0"/>
        <v>966</v>
      </c>
      <c r="O12" s="21"/>
      <c r="P12" s="21"/>
      <c r="Q12" s="21"/>
    </row>
    <row r="13" spans="1:17" ht="15.75" hidden="1">
      <c r="A13" s="22"/>
      <c r="B13" s="29" t="s">
        <v>21</v>
      </c>
      <c r="C13" s="30" t="s">
        <v>18</v>
      </c>
      <c r="D13" s="30" t="s">
        <v>20</v>
      </c>
      <c r="E13" s="31" t="s">
        <v>22</v>
      </c>
      <c r="F13" s="30"/>
      <c r="G13" s="32" t="e">
        <f t="shared" si="1"/>
        <v>#REF!</v>
      </c>
      <c r="H13" s="32" t="e">
        <f t="shared" si="1"/>
        <v>#REF!</v>
      </c>
      <c r="I13" s="33" t="e">
        <f t="shared" si="1"/>
        <v>#REF!</v>
      </c>
      <c r="J13" s="28" t="e">
        <f>I13-H13</f>
        <v>#REF!</v>
      </c>
      <c r="K13" s="33" t="e">
        <f>K14</f>
        <v>#REF!</v>
      </c>
      <c r="L13" s="34">
        <f>L14</f>
        <v>966</v>
      </c>
      <c r="M13" s="34"/>
      <c r="N13" s="21">
        <f t="shared" si="0"/>
        <v>966</v>
      </c>
      <c r="O13" s="21"/>
      <c r="P13" s="21"/>
      <c r="Q13" s="21"/>
    </row>
    <row r="14" spans="1:17" ht="15.75" hidden="1">
      <c r="A14" s="22"/>
      <c r="B14" s="29" t="s">
        <v>23</v>
      </c>
      <c r="C14" s="30" t="s">
        <v>18</v>
      </c>
      <c r="D14" s="30" t="s">
        <v>20</v>
      </c>
      <c r="E14" s="31" t="s">
        <v>24</v>
      </c>
      <c r="F14" s="30"/>
      <c r="G14" s="32" t="e">
        <f>G15+#REF!</f>
        <v>#REF!</v>
      </c>
      <c r="H14" s="32" t="e">
        <f>H15+#REF!</f>
        <v>#REF!</v>
      </c>
      <c r="I14" s="33" t="e">
        <f>I15+#REF!</f>
        <v>#REF!</v>
      </c>
      <c r="J14" s="28" t="e">
        <f>I14-H14</f>
        <v>#REF!</v>
      </c>
      <c r="K14" s="33" t="e">
        <f>K15+#REF!</f>
        <v>#REF!</v>
      </c>
      <c r="L14" s="34">
        <f>L15</f>
        <v>966</v>
      </c>
      <c r="M14" s="34"/>
      <c r="N14" s="21">
        <f t="shared" si="0"/>
        <v>966</v>
      </c>
      <c r="O14" s="21"/>
      <c r="P14" s="21"/>
      <c r="Q14" s="21"/>
    </row>
    <row r="15" spans="1:17" ht="90.75" customHeight="1" hidden="1">
      <c r="A15" s="22"/>
      <c r="B15" s="35" t="s">
        <v>25</v>
      </c>
      <c r="C15" s="30" t="s">
        <v>18</v>
      </c>
      <c r="D15" s="30" t="s">
        <v>20</v>
      </c>
      <c r="E15" s="31" t="s">
        <v>26</v>
      </c>
      <c r="F15" s="30" t="s">
        <v>27</v>
      </c>
      <c r="G15" s="32">
        <v>250.7</v>
      </c>
      <c r="H15" s="32">
        <v>250.7</v>
      </c>
      <c r="I15" s="33">
        <f>250.7+17.3</f>
        <v>268</v>
      </c>
      <c r="J15" s="28">
        <f>I15-H15</f>
        <v>17.30000000000001</v>
      </c>
      <c r="K15" s="33">
        <f>250.7+17.3</f>
        <v>268</v>
      </c>
      <c r="L15" s="34">
        <v>966</v>
      </c>
      <c r="M15" s="34">
        <v>0</v>
      </c>
      <c r="N15" s="21">
        <f t="shared" si="0"/>
        <v>966</v>
      </c>
      <c r="O15" s="21"/>
      <c r="P15" s="21"/>
      <c r="Q15" s="21"/>
    </row>
    <row r="16" spans="1:17" ht="61.5" customHeight="1" hidden="1">
      <c r="A16" s="22"/>
      <c r="B16" s="15" t="s">
        <v>28</v>
      </c>
      <c r="C16" s="14" t="s">
        <v>18</v>
      </c>
      <c r="D16" s="14" t="s">
        <v>29</v>
      </c>
      <c r="E16" s="26"/>
      <c r="F16" s="30"/>
      <c r="G16" s="32"/>
      <c r="H16" s="32"/>
      <c r="I16" s="33"/>
      <c r="J16" s="28"/>
      <c r="K16" s="33"/>
      <c r="L16" s="21">
        <f>L17</f>
        <v>32</v>
      </c>
      <c r="M16" s="21"/>
      <c r="N16" s="21">
        <f t="shared" si="0"/>
        <v>32</v>
      </c>
      <c r="O16" s="21"/>
      <c r="P16" s="21"/>
      <c r="Q16" s="21"/>
    </row>
    <row r="17" spans="1:17" ht="15.75" hidden="1">
      <c r="A17" s="22"/>
      <c r="B17" s="29" t="s">
        <v>21</v>
      </c>
      <c r="C17" s="30" t="s">
        <v>18</v>
      </c>
      <c r="D17" s="30" t="s">
        <v>29</v>
      </c>
      <c r="E17" s="31" t="s">
        <v>22</v>
      </c>
      <c r="F17" s="30"/>
      <c r="G17" s="32"/>
      <c r="H17" s="32"/>
      <c r="I17" s="33"/>
      <c r="J17" s="28"/>
      <c r="K17" s="33"/>
      <c r="L17" s="21">
        <f>L18</f>
        <v>32</v>
      </c>
      <c r="M17" s="21"/>
      <c r="N17" s="21">
        <f t="shared" si="0"/>
        <v>32</v>
      </c>
      <c r="O17" s="21"/>
      <c r="P17" s="21"/>
      <c r="Q17" s="21"/>
    </row>
    <row r="18" spans="1:17" ht="15.75" hidden="1">
      <c r="A18" s="22"/>
      <c r="B18" s="29" t="s">
        <v>23</v>
      </c>
      <c r="C18" s="30" t="s">
        <v>18</v>
      </c>
      <c r="D18" s="30" t="s">
        <v>29</v>
      </c>
      <c r="E18" s="31" t="s">
        <v>24</v>
      </c>
      <c r="F18" s="30"/>
      <c r="G18" s="32"/>
      <c r="H18" s="32"/>
      <c r="I18" s="33"/>
      <c r="J18" s="28"/>
      <c r="K18" s="33"/>
      <c r="L18" s="21">
        <f>L19</f>
        <v>32</v>
      </c>
      <c r="M18" s="21"/>
      <c r="N18" s="21">
        <f t="shared" si="0"/>
        <v>32</v>
      </c>
      <c r="O18" s="21"/>
      <c r="P18" s="21"/>
      <c r="Q18" s="21"/>
    </row>
    <row r="19" spans="1:17" ht="50.25" customHeight="1" hidden="1">
      <c r="A19" s="22"/>
      <c r="B19" s="36" t="s">
        <v>30</v>
      </c>
      <c r="C19" s="30" t="s">
        <v>18</v>
      </c>
      <c r="D19" s="30" t="s">
        <v>29</v>
      </c>
      <c r="E19" s="31" t="s">
        <v>31</v>
      </c>
      <c r="F19" s="30" t="s">
        <v>32</v>
      </c>
      <c r="G19" s="32"/>
      <c r="H19" s="32"/>
      <c r="I19" s="33"/>
      <c r="J19" s="28"/>
      <c r="K19" s="33"/>
      <c r="L19" s="21">
        <f>2+30</f>
        <v>32</v>
      </c>
      <c r="M19" s="21">
        <v>0</v>
      </c>
      <c r="N19" s="21">
        <f t="shared" si="0"/>
        <v>32</v>
      </c>
      <c r="O19" s="21"/>
      <c r="P19" s="21"/>
      <c r="Q19" s="21"/>
    </row>
    <row r="20" spans="1:17" ht="78.75" hidden="1">
      <c r="A20" s="22"/>
      <c r="B20" s="37" t="s">
        <v>33</v>
      </c>
      <c r="C20" s="14" t="s">
        <v>18</v>
      </c>
      <c r="D20" s="14" t="s">
        <v>34</v>
      </c>
      <c r="E20" s="31"/>
      <c r="F20" s="16"/>
      <c r="G20" s="18" t="e">
        <f>G21+#REF!</f>
        <v>#REF!</v>
      </c>
      <c r="H20" s="18" t="e">
        <f>H21+#REF!</f>
        <v>#REF!</v>
      </c>
      <c r="I20" s="38" t="e">
        <f>I21+#REF!</f>
        <v>#REF!</v>
      </c>
      <c r="J20" s="28" t="e">
        <f aca="true" t="shared" si="2" ref="J20:J46">I20-H20</f>
        <v>#REF!</v>
      </c>
      <c r="K20" s="38" t="e">
        <f>K21+#REF!</f>
        <v>#REF!</v>
      </c>
      <c r="L20" s="21">
        <f>L21</f>
        <v>3180.0000000000005</v>
      </c>
      <c r="M20" s="21">
        <f>M21</f>
        <v>15.9</v>
      </c>
      <c r="N20" s="21">
        <f t="shared" si="0"/>
        <v>3195.9000000000005</v>
      </c>
      <c r="O20" s="13">
        <f>L20+M20</f>
        <v>3195.9000000000005</v>
      </c>
      <c r="P20" s="13">
        <v>0</v>
      </c>
      <c r="Q20" s="164">
        <f>O20+P20</f>
        <v>3195.9000000000005</v>
      </c>
    </row>
    <row r="21" spans="1:17" ht="15.75" hidden="1">
      <c r="A21" s="22"/>
      <c r="B21" s="39" t="s">
        <v>35</v>
      </c>
      <c r="C21" s="30" t="s">
        <v>18</v>
      </c>
      <c r="D21" s="30" t="s">
        <v>34</v>
      </c>
      <c r="E21" s="31" t="s">
        <v>36</v>
      </c>
      <c r="F21" s="30"/>
      <c r="G21" s="32">
        <f>G22</f>
        <v>2892</v>
      </c>
      <c r="H21" s="32">
        <f>H22</f>
        <v>2892</v>
      </c>
      <c r="I21" s="40">
        <f>I22</f>
        <v>2888.719</v>
      </c>
      <c r="J21" s="28">
        <f t="shared" si="2"/>
        <v>-3.280999999999949</v>
      </c>
      <c r="K21" s="40">
        <f>K22</f>
        <v>2888.719</v>
      </c>
      <c r="L21" s="34">
        <f>L22</f>
        <v>3180.0000000000005</v>
      </c>
      <c r="M21" s="34">
        <f>M22</f>
        <v>15.9</v>
      </c>
      <c r="N21" s="21">
        <f t="shared" si="0"/>
        <v>3195.9000000000005</v>
      </c>
      <c r="O21" s="13">
        <f>L21+M21</f>
        <v>3195.9000000000005</v>
      </c>
      <c r="P21" s="13">
        <v>0</v>
      </c>
      <c r="Q21" s="13">
        <f>O21+P21</f>
        <v>3195.9000000000005</v>
      </c>
    </row>
    <row r="22" spans="1:17" ht="19.5" customHeight="1" hidden="1">
      <c r="A22" s="22"/>
      <c r="B22" s="41" t="s">
        <v>23</v>
      </c>
      <c r="C22" s="42" t="s">
        <v>18</v>
      </c>
      <c r="D22" s="42" t="s">
        <v>34</v>
      </c>
      <c r="E22" s="43" t="s">
        <v>37</v>
      </c>
      <c r="F22" s="42"/>
      <c r="G22" s="44">
        <f>G23+G24+G25</f>
        <v>2892</v>
      </c>
      <c r="H22" s="44">
        <f>H23+H24+H25</f>
        <v>2892</v>
      </c>
      <c r="I22" s="45">
        <f>I23+I24+I25+I26</f>
        <v>2888.719</v>
      </c>
      <c r="J22" s="28">
        <f t="shared" si="2"/>
        <v>-3.280999999999949</v>
      </c>
      <c r="K22" s="45">
        <f>K23+K24+K25+K26</f>
        <v>2888.719</v>
      </c>
      <c r="L22" s="34">
        <f>L23+L24+L25+L26</f>
        <v>3180.0000000000005</v>
      </c>
      <c r="M22" s="34">
        <f>M23</f>
        <v>15.9</v>
      </c>
      <c r="N22" s="21">
        <f t="shared" si="0"/>
        <v>3195.9000000000005</v>
      </c>
      <c r="O22" s="13">
        <f>L22+M22</f>
        <v>3195.9000000000005</v>
      </c>
      <c r="P22" s="13">
        <v>0</v>
      </c>
      <c r="Q22" s="13">
        <f>O22+P22</f>
        <v>3195.9000000000005</v>
      </c>
    </row>
    <row r="23" spans="1:17" ht="90.75" customHeight="1" hidden="1">
      <c r="A23" s="22"/>
      <c r="B23" s="46" t="s">
        <v>38</v>
      </c>
      <c r="C23" s="42" t="s">
        <v>18</v>
      </c>
      <c r="D23" s="42" t="s">
        <v>34</v>
      </c>
      <c r="E23" s="43" t="s">
        <v>39</v>
      </c>
      <c r="F23" s="42" t="s">
        <v>27</v>
      </c>
      <c r="G23" s="47">
        <v>1003.1</v>
      </c>
      <c r="H23" s="47">
        <v>1003.1</v>
      </c>
      <c r="I23" s="48">
        <v>1003.1</v>
      </c>
      <c r="J23" s="28">
        <f t="shared" si="2"/>
        <v>0</v>
      </c>
      <c r="K23" s="48">
        <v>1003.1</v>
      </c>
      <c r="L23" s="34">
        <v>1043.1</v>
      </c>
      <c r="M23" s="34">
        <v>15.9</v>
      </c>
      <c r="N23" s="21">
        <f t="shared" si="0"/>
        <v>1059</v>
      </c>
      <c r="O23" s="13">
        <f>L23+M23</f>
        <v>1059</v>
      </c>
      <c r="P23" s="13">
        <v>0</v>
      </c>
      <c r="Q23" s="13">
        <f>O23+P23</f>
        <v>1059</v>
      </c>
    </row>
    <row r="24" spans="1:17" ht="90.75" customHeight="1" hidden="1">
      <c r="A24" s="22"/>
      <c r="B24" s="49" t="s">
        <v>40</v>
      </c>
      <c r="C24" s="50" t="s">
        <v>18</v>
      </c>
      <c r="D24" s="50" t="s">
        <v>34</v>
      </c>
      <c r="E24" s="51" t="s">
        <v>41</v>
      </c>
      <c r="F24" s="42" t="s">
        <v>27</v>
      </c>
      <c r="G24" s="47">
        <v>1862.9</v>
      </c>
      <c r="H24" s="47">
        <v>1862.9</v>
      </c>
      <c r="I24" s="48">
        <v>1862.9</v>
      </c>
      <c r="J24" s="28">
        <f t="shared" si="2"/>
        <v>0</v>
      </c>
      <c r="K24" s="48">
        <v>1862.9</v>
      </c>
      <c r="L24" s="34">
        <v>1470.2</v>
      </c>
      <c r="M24" s="34"/>
      <c r="N24" s="21">
        <f t="shared" si="0"/>
        <v>1470.2</v>
      </c>
      <c r="O24" s="21"/>
      <c r="P24" s="21"/>
      <c r="Q24" s="21"/>
    </row>
    <row r="25" spans="1:17" ht="45.75" customHeight="1" hidden="1">
      <c r="A25" s="22"/>
      <c r="B25" s="49" t="s">
        <v>42</v>
      </c>
      <c r="C25" s="52" t="s">
        <v>18</v>
      </c>
      <c r="D25" s="52" t="s">
        <v>34</v>
      </c>
      <c r="E25" s="53" t="s">
        <v>31</v>
      </c>
      <c r="F25" s="52" t="s">
        <v>32</v>
      </c>
      <c r="G25" s="54">
        <v>26</v>
      </c>
      <c r="H25" s="54">
        <v>26</v>
      </c>
      <c r="I25" s="55">
        <f>26-3.281</f>
        <v>22.719</v>
      </c>
      <c r="J25" s="28">
        <f t="shared" si="2"/>
        <v>-3.280999999999999</v>
      </c>
      <c r="K25" s="55">
        <f>26-3.281</f>
        <v>22.719</v>
      </c>
      <c r="L25" s="34">
        <v>628.8</v>
      </c>
      <c r="M25" s="34"/>
      <c r="N25" s="21">
        <f t="shared" si="0"/>
        <v>628.8</v>
      </c>
      <c r="O25" s="21"/>
      <c r="P25" s="21"/>
      <c r="Q25" s="21"/>
    </row>
    <row r="26" spans="1:17" ht="32.25" customHeight="1" hidden="1">
      <c r="A26" s="22"/>
      <c r="B26" s="49" t="s">
        <v>43</v>
      </c>
      <c r="C26" s="52" t="s">
        <v>18</v>
      </c>
      <c r="D26" s="52" t="s">
        <v>34</v>
      </c>
      <c r="E26" s="53" t="s">
        <v>31</v>
      </c>
      <c r="F26" s="52" t="s">
        <v>44</v>
      </c>
      <c r="G26" s="54">
        <v>0</v>
      </c>
      <c r="H26" s="54">
        <v>0</v>
      </c>
      <c r="I26" s="55">
        <f>13.281-13.281</f>
        <v>0</v>
      </c>
      <c r="J26" s="28">
        <f t="shared" si="2"/>
        <v>0</v>
      </c>
      <c r="K26" s="55">
        <f>13.281-13.281</f>
        <v>0</v>
      </c>
      <c r="L26" s="34">
        <v>37.9</v>
      </c>
      <c r="M26" s="34"/>
      <c r="N26" s="21">
        <f t="shared" si="0"/>
        <v>37.9</v>
      </c>
      <c r="O26" s="21"/>
      <c r="P26" s="21"/>
      <c r="Q26" s="21"/>
    </row>
    <row r="27" spans="1:17" ht="15" customHeight="1" hidden="1">
      <c r="A27" s="22"/>
      <c r="B27" s="56" t="s">
        <v>45</v>
      </c>
      <c r="C27" s="57" t="s">
        <v>18</v>
      </c>
      <c r="D27" s="57" t="s">
        <v>46</v>
      </c>
      <c r="E27" s="58"/>
      <c r="F27" s="57"/>
      <c r="G27" s="59">
        <f aca="true" t="shared" si="3" ref="G27:I29">G28</f>
        <v>20</v>
      </c>
      <c r="H27" s="59">
        <f t="shared" si="3"/>
        <v>20</v>
      </c>
      <c r="I27" s="60">
        <f t="shared" si="3"/>
        <v>20</v>
      </c>
      <c r="J27" s="28">
        <f t="shared" si="2"/>
        <v>0</v>
      </c>
      <c r="K27" s="60">
        <f aca="true" t="shared" si="4" ref="K27:L29">K28</f>
        <v>20</v>
      </c>
      <c r="L27" s="21">
        <f t="shared" si="4"/>
        <v>20</v>
      </c>
      <c r="M27" s="21">
        <v>0</v>
      </c>
      <c r="N27" s="21">
        <f t="shared" si="0"/>
        <v>20</v>
      </c>
      <c r="O27" s="21"/>
      <c r="P27" s="21"/>
      <c r="Q27" s="21"/>
    </row>
    <row r="28" spans="1:17" ht="15" customHeight="1" hidden="1">
      <c r="A28" s="22"/>
      <c r="B28" s="61" t="s">
        <v>21</v>
      </c>
      <c r="C28" s="42" t="s">
        <v>18</v>
      </c>
      <c r="D28" s="42" t="s">
        <v>46</v>
      </c>
      <c r="E28" s="43" t="s">
        <v>36</v>
      </c>
      <c r="F28" s="42"/>
      <c r="G28" s="44">
        <f t="shared" si="3"/>
        <v>20</v>
      </c>
      <c r="H28" s="44">
        <f t="shared" si="3"/>
        <v>20</v>
      </c>
      <c r="I28" s="48">
        <f t="shared" si="3"/>
        <v>20</v>
      </c>
      <c r="J28" s="28">
        <f t="shared" si="2"/>
        <v>0</v>
      </c>
      <c r="K28" s="48">
        <f t="shared" si="4"/>
        <v>20</v>
      </c>
      <c r="L28" s="34">
        <f t="shared" si="4"/>
        <v>20</v>
      </c>
      <c r="M28" s="34"/>
      <c r="N28" s="21">
        <f t="shared" si="0"/>
        <v>20</v>
      </c>
      <c r="O28" s="21"/>
      <c r="P28" s="21"/>
      <c r="Q28" s="21"/>
    </row>
    <row r="29" spans="1:17" ht="20.25" customHeight="1" hidden="1">
      <c r="A29" s="22"/>
      <c r="B29" s="61" t="s">
        <v>47</v>
      </c>
      <c r="C29" s="42" t="s">
        <v>18</v>
      </c>
      <c r="D29" s="42" t="s">
        <v>46</v>
      </c>
      <c r="E29" s="43" t="s">
        <v>37</v>
      </c>
      <c r="F29" s="42"/>
      <c r="G29" s="44">
        <f t="shared" si="3"/>
        <v>20</v>
      </c>
      <c r="H29" s="44">
        <f t="shared" si="3"/>
        <v>20</v>
      </c>
      <c r="I29" s="48">
        <f t="shared" si="3"/>
        <v>20</v>
      </c>
      <c r="J29" s="28">
        <f t="shared" si="2"/>
        <v>0</v>
      </c>
      <c r="K29" s="48">
        <f t="shared" si="4"/>
        <v>20</v>
      </c>
      <c r="L29" s="34">
        <f t="shared" si="4"/>
        <v>20</v>
      </c>
      <c r="M29" s="34"/>
      <c r="N29" s="21">
        <f t="shared" si="0"/>
        <v>20</v>
      </c>
      <c r="O29" s="21"/>
      <c r="P29" s="21"/>
      <c r="Q29" s="21"/>
    </row>
    <row r="30" spans="1:17" ht="47.25" hidden="1">
      <c r="A30" s="22"/>
      <c r="B30" s="61" t="s">
        <v>48</v>
      </c>
      <c r="C30" s="42" t="s">
        <v>18</v>
      </c>
      <c r="D30" s="42" t="s">
        <v>46</v>
      </c>
      <c r="E30" s="43" t="s">
        <v>49</v>
      </c>
      <c r="F30" s="42" t="s">
        <v>44</v>
      </c>
      <c r="G30" s="62">
        <v>20</v>
      </c>
      <c r="H30" s="62">
        <v>20</v>
      </c>
      <c r="I30" s="63">
        <v>20</v>
      </c>
      <c r="J30" s="28">
        <f t="shared" si="2"/>
        <v>0</v>
      </c>
      <c r="K30" s="63">
        <v>20</v>
      </c>
      <c r="L30" s="34">
        <v>20</v>
      </c>
      <c r="M30" s="34"/>
      <c r="N30" s="21">
        <f t="shared" si="0"/>
        <v>20</v>
      </c>
      <c r="O30" s="21"/>
      <c r="P30" s="21"/>
      <c r="Q30" s="21"/>
    </row>
    <row r="31" spans="1:17" ht="24.75" customHeight="1">
      <c r="A31" s="22"/>
      <c r="B31" s="23" t="s">
        <v>50</v>
      </c>
      <c r="C31" s="57" t="s">
        <v>18</v>
      </c>
      <c r="D31" s="57" t="s">
        <v>51</v>
      </c>
      <c r="E31" s="58"/>
      <c r="F31" s="57"/>
      <c r="G31" s="64" t="e">
        <f>G32+G44+G37</f>
        <v>#REF!</v>
      </c>
      <c r="H31" s="64" t="e">
        <f>H32+H44+H37</f>
        <v>#REF!</v>
      </c>
      <c r="I31" s="65" t="e">
        <f>I32+I44+I37+I48</f>
        <v>#REF!</v>
      </c>
      <c r="J31" s="20" t="e">
        <f t="shared" si="2"/>
        <v>#REF!</v>
      </c>
      <c r="K31" s="65" t="e">
        <f>K32+K44+K37+K48</f>
        <v>#REF!</v>
      </c>
      <c r="L31" s="21">
        <f>L32+L37+L44+L48</f>
        <v>15638.5</v>
      </c>
      <c r="M31" s="21">
        <f>M32+M44</f>
        <v>520</v>
      </c>
      <c r="N31" s="21">
        <f t="shared" si="0"/>
        <v>16158.5</v>
      </c>
      <c r="O31" s="13">
        <f aca="true" t="shared" si="5" ref="O31:O36">L31+M31</f>
        <v>16158.5</v>
      </c>
      <c r="P31" s="13">
        <f>P32+P37+P44+P48</f>
        <v>634.88642</v>
      </c>
      <c r="Q31" s="13">
        <f aca="true" t="shared" si="6" ref="Q31:Q36">O31+P31</f>
        <v>16793.38642</v>
      </c>
    </row>
    <row r="32" spans="1:17" ht="51" customHeight="1" hidden="1">
      <c r="A32" s="22"/>
      <c r="B32" s="23" t="s">
        <v>52</v>
      </c>
      <c r="C32" s="57" t="s">
        <v>18</v>
      </c>
      <c r="D32" s="57" t="s">
        <v>51</v>
      </c>
      <c r="E32" s="58" t="s">
        <v>18</v>
      </c>
      <c r="F32" s="57"/>
      <c r="G32" s="59">
        <f>G33+G35</f>
        <v>220</v>
      </c>
      <c r="H32" s="59">
        <f>H33+H35</f>
        <v>220</v>
      </c>
      <c r="I32" s="60">
        <f>I33+I35</f>
        <v>220</v>
      </c>
      <c r="J32" s="28">
        <f t="shared" si="2"/>
        <v>0</v>
      </c>
      <c r="K32" s="60">
        <f>K33+K35</f>
        <v>220</v>
      </c>
      <c r="L32" s="21">
        <f>L33+L35</f>
        <v>290</v>
      </c>
      <c r="M32" s="21">
        <f>M33+M35</f>
        <v>0</v>
      </c>
      <c r="N32" s="21">
        <f t="shared" si="0"/>
        <v>290</v>
      </c>
      <c r="O32" s="13">
        <f t="shared" si="5"/>
        <v>290</v>
      </c>
      <c r="P32" s="13">
        <v>0</v>
      </c>
      <c r="Q32" s="13">
        <f t="shared" si="6"/>
        <v>290</v>
      </c>
    </row>
    <row r="33" spans="1:17" ht="49.5" customHeight="1" hidden="1">
      <c r="A33" s="22"/>
      <c r="B33" s="49" t="s">
        <v>53</v>
      </c>
      <c r="C33" s="42" t="s">
        <v>18</v>
      </c>
      <c r="D33" s="42" t="s">
        <v>51</v>
      </c>
      <c r="E33" s="43" t="s">
        <v>54</v>
      </c>
      <c r="F33" s="42"/>
      <c r="G33" s="47">
        <f>G34</f>
        <v>20</v>
      </c>
      <c r="H33" s="47">
        <f>H34</f>
        <v>20</v>
      </c>
      <c r="I33" s="48">
        <f>I34</f>
        <v>20</v>
      </c>
      <c r="J33" s="28">
        <f t="shared" si="2"/>
        <v>0</v>
      </c>
      <c r="K33" s="48">
        <f>K34</f>
        <v>20</v>
      </c>
      <c r="L33" s="34">
        <f>L34</f>
        <v>10</v>
      </c>
      <c r="M33" s="34">
        <f>M34</f>
        <v>2</v>
      </c>
      <c r="N33" s="21">
        <f t="shared" si="0"/>
        <v>12</v>
      </c>
      <c r="O33" s="13">
        <f t="shared" si="5"/>
        <v>12</v>
      </c>
      <c r="P33" s="13">
        <v>0</v>
      </c>
      <c r="Q33" s="13">
        <f t="shared" si="6"/>
        <v>12</v>
      </c>
    </row>
    <row r="34" spans="1:17" ht="40.5" customHeight="1" hidden="1">
      <c r="A34" s="22"/>
      <c r="B34" s="49" t="s">
        <v>55</v>
      </c>
      <c r="C34" s="42" t="s">
        <v>18</v>
      </c>
      <c r="D34" s="42" t="s">
        <v>51</v>
      </c>
      <c r="E34" s="43" t="s">
        <v>56</v>
      </c>
      <c r="F34" s="42" t="s">
        <v>32</v>
      </c>
      <c r="G34" s="47">
        <v>20</v>
      </c>
      <c r="H34" s="47">
        <v>20</v>
      </c>
      <c r="I34" s="48">
        <v>20</v>
      </c>
      <c r="J34" s="28">
        <f t="shared" si="2"/>
        <v>0</v>
      </c>
      <c r="K34" s="48">
        <v>20</v>
      </c>
      <c r="L34" s="34">
        <f>10</f>
        <v>10</v>
      </c>
      <c r="M34" s="34">
        <v>2</v>
      </c>
      <c r="N34" s="21">
        <f t="shared" si="0"/>
        <v>12</v>
      </c>
      <c r="O34" s="13">
        <f t="shared" si="5"/>
        <v>12</v>
      </c>
      <c r="P34" s="13">
        <v>0</v>
      </c>
      <c r="Q34" s="13">
        <f t="shared" si="6"/>
        <v>12</v>
      </c>
    </row>
    <row r="35" spans="1:17" ht="63" customHeight="1" hidden="1">
      <c r="A35" s="22"/>
      <c r="B35" s="66" t="s">
        <v>57</v>
      </c>
      <c r="C35" s="67" t="s">
        <v>18</v>
      </c>
      <c r="D35" s="67" t="s">
        <v>51</v>
      </c>
      <c r="E35" s="68" t="s">
        <v>58</v>
      </c>
      <c r="F35" s="67"/>
      <c r="G35" s="69">
        <f>G36</f>
        <v>200</v>
      </c>
      <c r="H35" s="69">
        <f>H36</f>
        <v>200</v>
      </c>
      <c r="I35" s="70">
        <f>I36</f>
        <v>200</v>
      </c>
      <c r="J35" s="28">
        <f t="shared" si="2"/>
        <v>0</v>
      </c>
      <c r="K35" s="70">
        <f>K36</f>
        <v>200</v>
      </c>
      <c r="L35" s="34">
        <f>L36</f>
        <v>280</v>
      </c>
      <c r="M35" s="34">
        <f>M36</f>
        <v>-2</v>
      </c>
      <c r="N35" s="21">
        <f t="shared" si="0"/>
        <v>278</v>
      </c>
      <c r="O35" s="13">
        <f t="shared" si="5"/>
        <v>278</v>
      </c>
      <c r="P35" s="13">
        <v>0</v>
      </c>
      <c r="Q35" s="13">
        <f t="shared" si="6"/>
        <v>278</v>
      </c>
    </row>
    <row r="36" spans="1:17" ht="110.25" hidden="1">
      <c r="A36" s="22"/>
      <c r="B36" s="36" t="s">
        <v>59</v>
      </c>
      <c r="C36" s="52" t="s">
        <v>18</v>
      </c>
      <c r="D36" s="52" t="s">
        <v>51</v>
      </c>
      <c r="E36" s="43" t="s">
        <v>60</v>
      </c>
      <c r="F36" s="52" t="s">
        <v>32</v>
      </c>
      <c r="G36" s="47">
        <v>200</v>
      </c>
      <c r="H36" s="47">
        <v>200</v>
      </c>
      <c r="I36" s="48">
        <v>200</v>
      </c>
      <c r="J36" s="28">
        <f t="shared" si="2"/>
        <v>0</v>
      </c>
      <c r="K36" s="48">
        <v>200</v>
      </c>
      <c r="L36" s="34">
        <v>280</v>
      </c>
      <c r="M36" s="34">
        <v>-2</v>
      </c>
      <c r="N36" s="21">
        <f t="shared" si="0"/>
        <v>278</v>
      </c>
      <c r="O36" s="13">
        <f t="shared" si="5"/>
        <v>278</v>
      </c>
      <c r="P36" s="13">
        <v>0</v>
      </c>
      <c r="Q36" s="13">
        <f t="shared" si="6"/>
        <v>278</v>
      </c>
    </row>
    <row r="37" spans="1:17" s="78" customFormat="1" ht="63.75" customHeight="1" hidden="1">
      <c r="A37" s="71"/>
      <c r="B37" s="72" t="s">
        <v>61</v>
      </c>
      <c r="C37" s="73" t="s">
        <v>18</v>
      </c>
      <c r="D37" s="73" t="s">
        <v>51</v>
      </c>
      <c r="E37" s="74" t="s">
        <v>20</v>
      </c>
      <c r="F37" s="75"/>
      <c r="G37" s="76">
        <f>G38+G41+G43</f>
        <v>13659.7</v>
      </c>
      <c r="H37" s="76">
        <f>H38+H41+H43</f>
        <v>13591.7</v>
      </c>
      <c r="I37" s="76">
        <f>I38+I41+I43+I42</f>
        <v>16353.0872</v>
      </c>
      <c r="J37" s="77">
        <f t="shared" si="2"/>
        <v>2761.387199999999</v>
      </c>
      <c r="K37" s="76">
        <f>K38+K41+K43+K42</f>
        <v>16319.41245</v>
      </c>
      <c r="L37" s="21">
        <f>L38+L40+L42</f>
        <v>13888</v>
      </c>
      <c r="M37" s="21"/>
      <c r="N37" s="21">
        <f t="shared" si="0"/>
        <v>13888</v>
      </c>
      <c r="O37" s="21"/>
      <c r="P37" s="21"/>
      <c r="Q37" s="21"/>
    </row>
    <row r="38" spans="1:17" ht="38.25" customHeight="1" hidden="1">
      <c r="A38" s="22"/>
      <c r="B38" s="49" t="s">
        <v>62</v>
      </c>
      <c r="C38" s="42" t="s">
        <v>18</v>
      </c>
      <c r="D38" s="42" t="s">
        <v>51</v>
      </c>
      <c r="E38" s="43" t="s">
        <v>63</v>
      </c>
      <c r="F38" s="42"/>
      <c r="G38" s="44">
        <f>G39</f>
        <v>10422.4</v>
      </c>
      <c r="H38" s="44">
        <f>H39</f>
        <v>10422.4</v>
      </c>
      <c r="I38" s="48">
        <f>I39</f>
        <v>10422.4</v>
      </c>
      <c r="J38" s="28">
        <f t="shared" si="2"/>
        <v>0</v>
      </c>
      <c r="K38" s="48">
        <f>K39</f>
        <v>10422.4</v>
      </c>
      <c r="L38" s="34">
        <f>L39</f>
        <v>11415.4</v>
      </c>
      <c r="M38" s="34"/>
      <c r="N38" s="21">
        <f t="shared" si="0"/>
        <v>11415.4</v>
      </c>
      <c r="O38" s="21"/>
      <c r="P38" s="21"/>
      <c r="Q38" s="21"/>
    </row>
    <row r="39" spans="1:17" ht="101.25" customHeight="1" hidden="1">
      <c r="A39" s="22"/>
      <c r="B39" s="49" t="s">
        <v>64</v>
      </c>
      <c r="C39" s="42" t="s">
        <v>18</v>
      </c>
      <c r="D39" s="42" t="s">
        <v>51</v>
      </c>
      <c r="E39" s="43" t="s">
        <v>65</v>
      </c>
      <c r="F39" s="42" t="s">
        <v>27</v>
      </c>
      <c r="G39" s="47">
        <f>10360.4+62</f>
        <v>10422.4</v>
      </c>
      <c r="H39" s="47">
        <f>10360.4+62</f>
        <v>10422.4</v>
      </c>
      <c r="I39" s="48">
        <f>10360.4+62</f>
        <v>10422.4</v>
      </c>
      <c r="J39" s="28">
        <f t="shared" si="2"/>
        <v>0</v>
      </c>
      <c r="K39" s="48">
        <f>10360.4+62</f>
        <v>10422.4</v>
      </c>
      <c r="L39" s="34">
        <v>11415.4</v>
      </c>
      <c r="M39" s="34"/>
      <c r="N39" s="21">
        <f t="shared" si="0"/>
        <v>11415.4</v>
      </c>
      <c r="O39" s="21"/>
      <c r="P39" s="21"/>
      <c r="Q39" s="21"/>
    </row>
    <row r="40" spans="1:17" ht="39.75" customHeight="1" hidden="1">
      <c r="A40" s="22"/>
      <c r="B40" s="49" t="s">
        <v>66</v>
      </c>
      <c r="C40" s="42" t="s">
        <v>18</v>
      </c>
      <c r="D40" s="42" t="s">
        <v>51</v>
      </c>
      <c r="E40" s="43" t="s">
        <v>67</v>
      </c>
      <c r="F40" s="42"/>
      <c r="G40" s="44">
        <f>G41+G42</f>
        <v>3237.3</v>
      </c>
      <c r="H40" s="44">
        <f>H41+H42</f>
        <v>3169.3</v>
      </c>
      <c r="I40" s="79">
        <f>I41+I42</f>
        <v>5660.6872</v>
      </c>
      <c r="J40" s="20">
        <f t="shared" si="2"/>
        <v>2491.3872</v>
      </c>
      <c r="K40" s="79">
        <f>K41+K42</f>
        <v>5692.162450000001</v>
      </c>
      <c r="L40" s="34">
        <f>L41</f>
        <v>2281.8999999999996</v>
      </c>
      <c r="M40" s="34"/>
      <c r="N40" s="21">
        <f t="shared" si="0"/>
        <v>2281.8999999999996</v>
      </c>
      <c r="O40" s="21"/>
      <c r="P40" s="21"/>
      <c r="Q40" s="21"/>
    </row>
    <row r="41" spans="1:17" ht="48" customHeight="1" hidden="1">
      <c r="A41" s="22"/>
      <c r="B41" s="80" t="s">
        <v>68</v>
      </c>
      <c r="C41" s="42" t="s">
        <v>18</v>
      </c>
      <c r="D41" s="42" t="s">
        <v>51</v>
      </c>
      <c r="E41" s="43" t="s">
        <v>69</v>
      </c>
      <c r="F41" s="42" t="s">
        <v>32</v>
      </c>
      <c r="G41" s="47">
        <f>2886.3+75-62</f>
        <v>2899.3</v>
      </c>
      <c r="H41" s="47">
        <f>2886.3+75-62</f>
        <v>2899.3</v>
      </c>
      <c r="I41" s="81">
        <f>2886.3+75-62-0.1128+2491.5</f>
        <v>5390.6872</v>
      </c>
      <c r="J41" s="82">
        <f t="shared" si="2"/>
        <v>2491.3872</v>
      </c>
      <c r="K41" s="81">
        <f>2886.3+75-62-0.1128+2491.5-0.5-2.85-0.02475+100</f>
        <v>5487.31245</v>
      </c>
      <c r="L41" s="34">
        <f>343.6+340.5+392+765.8+440</f>
        <v>2281.8999999999996</v>
      </c>
      <c r="M41" s="34"/>
      <c r="N41" s="21">
        <f t="shared" si="0"/>
        <v>2281.8999999999996</v>
      </c>
      <c r="O41" s="21"/>
      <c r="P41" s="21"/>
      <c r="Q41" s="21"/>
    </row>
    <row r="42" spans="1:17" ht="32.25" customHeight="1" hidden="1">
      <c r="A42" s="22"/>
      <c r="B42" s="80" t="s">
        <v>70</v>
      </c>
      <c r="C42" s="42" t="s">
        <v>18</v>
      </c>
      <c r="D42" s="42" t="s">
        <v>51</v>
      </c>
      <c r="E42" s="43" t="s">
        <v>71</v>
      </c>
      <c r="F42" s="42"/>
      <c r="G42" s="44">
        <f>G43</f>
        <v>338</v>
      </c>
      <c r="H42" s="44">
        <f>H43</f>
        <v>270</v>
      </c>
      <c r="I42" s="63">
        <f>I43</f>
        <v>270</v>
      </c>
      <c r="J42" s="83">
        <f t="shared" si="2"/>
        <v>0</v>
      </c>
      <c r="K42" s="63">
        <f>K43</f>
        <v>204.85000000000002</v>
      </c>
      <c r="L42" s="34">
        <f>L43</f>
        <v>190.70000000000002</v>
      </c>
      <c r="M42" s="34"/>
      <c r="N42" s="21">
        <f t="shared" si="0"/>
        <v>190.70000000000002</v>
      </c>
      <c r="O42" s="21"/>
      <c r="P42" s="21"/>
      <c r="Q42" s="21"/>
    </row>
    <row r="43" spans="1:17" ht="38.25" customHeight="1" hidden="1">
      <c r="A43" s="22"/>
      <c r="B43" s="80" t="s">
        <v>72</v>
      </c>
      <c r="C43" s="42" t="s">
        <v>18</v>
      </c>
      <c r="D43" s="42" t="s">
        <v>51</v>
      </c>
      <c r="E43" s="43" t="s">
        <v>73</v>
      </c>
      <c r="F43" s="42" t="s">
        <v>44</v>
      </c>
      <c r="G43" s="47">
        <v>338</v>
      </c>
      <c r="H43" s="47">
        <f>338-68</f>
        <v>270</v>
      </c>
      <c r="I43" s="63">
        <f>338-68</f>
        <v>270</v>
      </c>
      <c r="J43" s="83">
        <f t="shared" si="2"/>
        <v>0</v>
      </c>
      <c r="K43" s="63">
        <f>338-68+2.85-68</f>
        <v>204.85000000000002</v>
      </c>
      <c r="L43" s="34">
        <f>181.5+4.3+4.9</f>
        <v>190.70000000000002</v>
      </c>
      <c r="M43" s="34"/>
      <c r="N43" s="21">
        <f t="shared" si="0"/>
        <v>190.70000000000002</v>
      </c>
      <c r="O43" s="21"/>
      <c r="P43" s="21"/>
      <c r="Q43" s="21"/>
    </row>
    <row r="44" spans="1:17" ht="100.5" customHeight="1">
      <c r="A44" s="22"/>
      <c r="B44" s="23" t="s">
        <v>74</v>
      </c>
      <c r="C44" s="57" t="s">
        <v>18</v>
      </c>
      <c r="D44" s="57" t="s">
        <v>51</v>
      </c>
      <c r="E44" s="58" t="s">
        <v>29</v>
      </c>
      <c r="F44" s="42"/>
      <c r="G44" s="47" t="e">
        <f>G45+#REF!</f>
        <v>#REF!</v>
      </c>
      <c r="H44" s="47" t="e">
        <f>H45+#REF!</f>
        <v>#REF!</v>
      </c>
      <c r="I44" s="81" t="e">
        <f>I45+#REF!</f>
        <v>#REF!</v>
      </c>
      <c r="J44" s="82" t="e">
        <f t="shared" si="2"/>
        <v>#REF!</v>
      </c>
      <c r="K44" s="81" t="e">
        <f>K45+#REF!</f>
        <v>#REF!</v>
      </c>
      <c r="L44" s="21">
        <f>L45</f>
        <v>1447.5</v>
      </c>
      <c r="M44" s="21">
        <f>M45</f>
        <v>520</v>
      </c>
      <c r="N44" s="21">
        <f t="shared" si="0"/>
        <v>1967.5</v>
      </c>
      <c r="O44" s="13">
        <f>L44+M44</f>
        <v>1967.5</v>
      </c>
      <c r="P44" s="13">
        <f>P45</f>
        <v>634.88642</v>
      </c>
      <c r="Q44" s="13">
        <f>O44+P44</f>
        <v>2602.38642</v>
      </c>
    </row>
    <row r="45" spans="1:17" ht="33" customHeight="1">
      <c r="A45" s="22"/>
      <c r="B45" s="80" t="s">
        <v>75</v>
      </c>
      <c r="C45" s="42" t="s">
        <v>18</v>
      </c>
      <c r="D45" s="42" t="s">
        <v>51</v>
      </c>
      <c r="E45" s="43" t="s">
        <v>76</v>
      </c>
      <c r="F45" s="42"/>
      <c r="G45" s="47">
        <f>G46</f>
        <v>1306.6</v>
      </c>
      <c r="H45" s="47">
        <f>H46</f>
        <v>1306.6</v>
      </c>
      <c r="I45" s="81" t="e">
        <f>I46+#REF!</f>
        <v>#REF!</v>
      </c>
      <c r="J45" s="82" t="e">
        <f t="shared" si="2"/>
        <v>#REF!</v>
      </c>
      <c r="K45" s="81" t="e">
        <f>K46+#REF!+#REF!</f>
        <v>#REF!</v>
      </c>
      <c r="L45" s="34">
        <f>L46</f>
        <v>1447.5</v>
      </c>
      <c r="M45" s="34">
        <f>M46</f>
        <v>520</v>
      </c>
      <c r="N45" s="21">
        <f t="shared" si="0"/>
        <v>1967.5</v>
      </c>
      <c r="O45" s="13">
        <f>L45+M45</f>
        <v>1967.5</v>
      </c>
      <c r="P45" s="13">
        <f>P46</f>
        <v>634.88642</v>
      </c>
      <c r="Q45" s="13">
        <f>O45+P45</f>
        <v>2602.38642</v>
      </c>
    </row>
    <row r="46" spans="1:17" ht="46.5" customHeight="1">
      <c r="A46" s="22"/>
      <c r="B46" s="80" t="s">
        <v>77</v>
      </c>
      <c r="C46" s="42" t="s">
        <v>18</v>
      </c>
      <c r="D46" s="42" t="s">
        <v>51</v>
      </c>
      <c r="E46" s="43" t="s">
        <v>78</v>
      </c>
      <c r="F46" s="42" t="s">
        <v>32</v>
      </c>
      <c r="G46" s="47">
        <v>1306.6</v>
      </c>
      <c r="H46" s="47">
        <v>1306.6</v>
      </c>
      <c r="I46" s="81">
        <f>1306.6-0.11352+222.594</f>
        <v>1529.0804799999999</v>
      </c>
      <c r="J46" s="82">
        <f t="shared" si="2"/>
        <v>222.48047999999994</v>
      </c>
      <c r="K46" s="81">
        <f>1306.6-0.11352+222.594+1200</f>
        <v>2729.0804799999996</v>
      </c>
      <c r="L46" s="34">
        <f>823.3+524.2+100</f>
        <v>1447.5</v>
      </c>
      <c r="M46" s="34">
        <f>520</f>
        <v>520</v>
      </c>
      <c r="N46" s="21">
        <f t="shared" si="0"/>
        <v>1967.5</v>
      </c>
      <c r="O46" s="13">
        <f>L46+M46</f>
        <v>1967.5</v>
      </c>
      <c r="P46" s="13">
        <f>400+137.38642+97.5</f>
        <v>634.88642</v>
      </c>
      <c r="Q46" s="13">
        <f>O46+P46</f>
        <v>2602.38642</v>
      </c>
    </row>
    <row r="47" spans="1:17" ht="42.75" customHeight="1" hidden="1">
      <c r="A47" s="22"/>
      <c r="B47" s="80" t="s">
        <v>77</v>
      </c>
      <c r="C47" s="42" t="s">
        <v>18</v>
      </c>
      <c r="D47" s="42" t="s">
        <v>51</v>
      </c>
      <c r="E47" s="43" t="s">
        <v>78</v>
      </c>
      <c r="F47" s="42" t="s">
        <v>44</v>
      </c>
      <c r="G47" s="47"/>
      <c r="H47" s="47"/>
      <c r="I47" s="81"/>
      <c r="J47" s="82"/>
      <c r="K47" s="81"/>
      <c r="L47" s="34">
        <v>0</v>
      </c>
      <c r="M47" s="84"/>
      <c r="N47" s="13">
        <f t="shared" si="0"/>
        <v>0</v>
      </c>
      <c r="O47" s="13"/>
      <c r="P47" s="13"/>
      <c r="Q47" s="13"/>
    </row>
    <row r="48" spans="1:17" ht="21.75" customHeight="1" hidden="1">
      <c r="A48" s="22"/>
      <c r="B48" s="85" t="s">
        <v>21</v>
      </c>
      <c r="C48" s="86" t="s">
        <v>18</v>
      </c>
      <c r="D48" s="86" t="s">
        <v>51</v>
      </c>
      <c r="E48" s="87" t="s">
        <v>22</v>
      </c>
      <c r="F48" s="88"/>
      <c r="G48" s="89"/>
      <c r="H48" s="89"/>
      <c r="I48" s="90">
        <f>I49</f>
        <v>26.375</v>
      </c>
      <c r="J48" s="13">
        <f>I48-H48+2</f>
        <v>28.375</v>
      </c>
      <c r="K48" s="90">
        <f>K49</f>
        <v>26.375</v>
      </c>
      <c r="L48" s="21">
        <f>L49</f>
        <v>13</v>
      </c>
      <c r="M48" s="21"/>
      <c r="N48" s="13">
        <f t="shared" si="0"/>
        <v>13</v>
      </c>
      <c r="O48" s="13"/>
      <c r="P48" s="13"/>
      <c r="Q48" s="13"/>
    </row>
    <row r="49" spans="1:17" ht="24.75" customHeight="1" hidden="1">
      <c r="A49" s="22"/>
      <c r="B49" s="91" t="s">
        <v>47</v>
      </c>
      <c r="C49" s="92" t="s">
        <v>18</v>
      </c>
      <c r="D49" s="92" t="s">
        <v>51</v>
      </c>
      <c r="E49" s="93" t="s">
        <v>37</v>
      </c>
      <c r="F49" s="94"/>
      <c r="G49" s="95"/>
      <c r="H49" s="95"/>
      <c r="I49" s="96">
        <f>I50</f>
        <v>26.375</v>
      </c>
      <c r="J49" s="97">
        <f>I49-H49+2</f>
        <v>28.375</v>
      </c>
      <c r="K49" s="96">
        <f>K50</f>
        <v>26.375</v>
      </c>
      <c r="L49" s="34">
        <f>L50</f>
        <v>13</v>
      </c>
      <c r="M49" s="98"/>
      <c r="N49" s="13">
        <f t="shared" si="0"/>
        <v>13</v>
      </c>
      <c r="O49" s="13"/>
      <c r="P49" s="13"/>
      <c r="Q49" s="13"/>
    </row>
    <row r="50" spans="1:17" ht="31.5" customHeight="1" hidden="1">
      <c r="A50" s="22"/>
      <c r="B50" s="35" t="s">
        <v>79</v>
      </c>
      <c r="C50" s="52" t="s">
        <v>18</v>
      </c>
      <c r="D50" s="52" t="s">
        <v>51</v>
      </c>
      <c r="E50" s="99" t="s">
        <v>80</v>
      </c>
      <c r="F50" s="52" t="s">
        <v>44</v>
      </c>
      <c r="G50" s="95"/>
      <c r="H50" s="95"/>
      <c r="I50" s="100">
        <f>26.375</f>
        <v>26.375</v>
      </c>
      <c r="J50" s="13">
        <f>I50-H50</f>
        <v>26.375</v>
      </c>
      <c r="K50" s="100">
        <f>26.375</f>
        <v>26.375</v>
      </c>
      <c r="L50" s="34">
        <f>13</f>
        <v>13</v>
      </c>
      <c r="M50" s="34"/>
      <c r="N50" s="13">
        <f t="shared" si="0"/>
        <v>13</v>
      </c>
      <c r="O50" s="13"/>
      <c r="P50" s="13"/>
      <c r="Q50" s="13"/>
    </row>
    <row r="51" spans="1:17" ht="15" customHeight="1" hidden="1">
      <c r="A51" s="22"/>
      <c r="B51" s="23" t="s">
        <v>81</v>
      </c>
      <c r="C51" s="57" t="s">
        <v>20</v>
      </c>
      <c r="D51" s="57"/>
      <c r="E51" s="43"/>
      <c r="F51" s="42"/>
      <c r="G51" s="59">
        <f aca="true" t="shared" si="7" ref="G51:I52">G52</f>
        <v>607.5999999999999</v>
      </c>
      <c r="H51" s="59">
        <f t="shared" si="7"/>
        <v>607.5999999999999</v>
      </c>
      <c r="I51" s="60">
        <f t="shared" si="7"/>
        <v>607.5999999999999</v>
      </c>
      <c r="J51" s="82">
        <f aca="true" t="shared" si="8" ref="J51:J68">I51-H51+2</f>
        <v>2</v>
      </c>
      <c r="K51" s="60">
        <f>K52</f>
        <v>607.5999999999999</v>
      </c>
      <c r="L51" s="21">
        <f>L52</f>
        <v>709.3000000000001</v>
      </c>
      <c r="M51" s="21"/>
      <c r="N51" s="13">
        <f t="shared" si="0"/>
        <v>709.3000000000001</v>
      </c>
      <c r="O51" s="13"/>
      <c r="P51" s="13"/>
      <c r="Q51" s="13"/>
    </row>
    <row r="52" spans="1:17" ht="17.25" customHeight="1" hidden="1">
      <c r="A52" s="22"/>
      <c r="B52" s="23" t="s">
        <v>82</v>
      </c>
      <c r="C52" s="57" t="s">
        <v>20</v>
      </c>
      <c r="D52" s="57" t="s">
        <v>29</v>
      </c>
      <c r="E52" s="58"/>
      <c r="F52" s="57"/>
      <c r="G52" s="59">
        <f t="shared" si="7"/>
        <v>607.5999999999999</v>
      </c>
      <c r="H52" s="59">
        <f t="shared" si="7"/>
        <v>607.5999999999999</v>
      </c>
      <c r="I52" s="60">
        <f t="shared" si="7"/>
        <v>607.5999999999999</v>
      </c>
      <c r="J52" s="82">
        <f t="shared" si="8"/>
        <v>2</v>
      </c>
      <c r="K52" s="60">
        <f>K53</f>
        <v>607.5999999999999</v>
      </c>
      <c r="L52" s="21">
        <f>L53</f>
        <v>709.3000000000001</v>
      </c>
      <c r="M52" s="21"/>
      <c r="N52" s="13">
        <f t="shared" si="0"/>
        <v>709.3000000000001</v>
      </c>
      <c r="O52" s="13"/>
      <c r="P52" s="13"/>
      <c r="Q52" s="13"/>
    </row>
    <row r="53" spans="1:17" ht="18.75" customHeight="1" hidden="1">
      <c r="A53" s="22"/>
      <c r="B53" s="61" t="s">
        <v>21</v>
      </c>
      <c r="C53" s="42" t="s">
        <v>20</v>
      </c>
      <c r="D53" s="42" t="s">
        <v>29</v>
      </c>
      <c r="E53" s="43" t="s">
        <v>36</v>
      </c>
      <c r="F53" s="42"/>
      <c r="G53" s="44">
        <f>G55+G56</f>
        <v>607.5999999999999</v>
      </c>
      <c r="H53" s="44">
        <f>H55+H56</f>
        <v>607.5999999999999</v>
      </c>
      <c r="I53" s="48">
        <f>I55+I56</f>
        <v>607.5999999999999</v>
      </c>
      <c r="J53" s="82">
        <f t="shared" si="8"/>
        <v>2</v>
      </c>
      <c r="K53" s="48">
        <f>K55+K56</f>
        <v>607.5999999999999</v>
      </c>
      <c r="L53" s="34">
        <f>L54</f>
        <v>709.3000000000001</v>
      </c>
      <c r="M53" s="34"/>
      <c r="N53" s="13">
        <f t="shared" si="0"/>
        <v>709.3000000000001</v>
      </c>
      <c r="O53" s="13"/>
      <c r="P53" s="13"/>
      <c r="Q53" s="13"/>
    </row>
    <row r="54" spans="1:17" ht="20.25" customHeight="1" hidden="1">
      <c r="A54" s="22"/>
      <c r="B54" s="61" t="s">
        <v>23</v>
      </c>
      <c r="C54" s="42" t="s">
        <v>20</v>
      </c>
      <c r="D54" s="42" t="s">
        <v>29</v>
      </c>
      <c r="E54" s="43" t="s">
        <v>37</v>
      </c>
      <c r="F54" s="42"/>
      <c r="G54" s="44">
        <f>G55+G56</f>
        <v>607.5999999999999</v>
      </c>
      <c r="H54" s="44">
        <f>H55+H56</f>
        <v>607.5999999999999</v>
      </c>
      <c r="I54" s="48">
        <f>I55+I56</f>
        <v>607.5999999999999</v>
      </c>
      <c r="J54" s="82">
        <f t="shared" si="8"/>
        <v>2</v>
      </c>
      <c r="K54" s="48">
        <f>K55+K56</f>
        <v>607.5999999999999</v>
      </c>
      <c r="L54" s="34">
        <f>L55+L56</f>
        <v>709.3000000000001</v>
      </c>
      <c r="M54" s="34"/>
      <c r="N54" s="13">
        <f t="shared" si="0"/>
        <v>709.3000000000001</v>
      </c>
      <c r="O54" s="13"/>
      <c r="P54" s="13"/>
      <c r="Q54" s="13"/>
    </row>
    <row r="55" spans="1:17" ht="99.75" customHeight="1" hidden="1">
      <c r="A55" s="22"/>
      <c r="B55" s="29" t="s">
        <v>83</v>
      </c>
      <c r="C55" s="42" t="s">
        <v>20</v>
      </c>
      <c r="D55" s="42" t="s">
        <v>29</v>
      </c>
      <c r="E55" s="43" t="s">
        <v>84</v>
      </c>
      <c r="F55" s="42" t="s">
        <v>27</v>
      </c>
      <c r="G55" s="47">
        <v>553.31</v>
      </c>
      <c r="H55" s="47">
        <v>553.31</v>
      </c>
      <c r="I55" s="48">
        <v>553.31</v>
      </c>
      <c r="J55" s="82">
        <f t="shared" si="8"/>
        <v>2</v>
      </c>
      <c r="K55" s="48">
        <v>553.31</v>
      </c>
      <c r="L55" s="34">
        <v>599.6</v>
      </c>
      <c r="M55" s="34"/>
      <c r="N55" s="13">
        <f t="shared" si="0"/>
        <v>599.6</v>
      </c>
      <c r="O55" s="13"/>
      <c r="P55" s="13"/>
      <c r="Q55" s="13"/>
    </row>
    <row r="56" spans="1:17" ht="61.5" customHeight="1" hidden="1">
      <c r="A56" s="22"/>
      <c r="B56" s="29" t="s">
        <v>85</v>
      </c>
      <c r="C56" s="42" t="s">
        <v>20</v>
      </c>
      <c r="D56" s="42" t="s">
        <v>29</v>
      </c>
      <c r="E56" s="43" t="s">
        <v>84</v>
      </c>
      <c r="F56" s="42" t="s">
        <v>32</v>
      </c>
      <c r="G56" s="47">
        <v>54.29</v>
      </c>
      <c r="H56" s="47">
        <v>54.29</v>
      </c>
      <c r="I56" s="48">
        <v>54.29</v>
      </c>
      <c r="J56" s="82">
        <f t="shared" si="8"/>
        <v>2</v>
      </c>
      <c r="K56" s="48">
        <v>54.29</v>
      </c>
      <c r="L56" s="34">
        <v>109.7</v>
      </c>
      <c r="M56" s="34"/>
      <c r="N56" s="13">
        <f t="shared" si="0"/>
        <v>109.7</v>
      </c>
      <c r="O56" s="13"/>
      <c r="P56" s="13"/>
      <c r="Q56" s="13"/>
    </row>
    <row r="57" spans="1:17" ht="30.75" customHeight="1" hidden="1">
      <c r="A57" s="22"/>
      <c r="B57" s="23" t="s">
        <v>86</v>
      </c>
      <c r="C57" s="57" t="s">
        <v>29</v>
      </c>
      <c r="D57" s="57"/>
      <c r="E57" s="58"/>
      <c r="F57" s="57"/>
      <c r="G57" s="59">
        <f>G58+G65</f>
        <v>764.03</v>
      </c>
      <c r="H57" s="59">
        <f>H58+H65</f>
        <v>764.03</v>
      </c>
      <c r="I57" s="60">
        <f>I58+I65</f>
        <v>764.03</v>
      </c>
      <c r="J57" s="82">
        <f t="shared" si="8"/>
        <v>2</v>
      </c>
      <c r="K57" s="101">
        <f>K58+K65</f>
        <v>863.1089999999999</v>
      </c>
      <c r="L57" s="21">
        <f>L58+L65</f>
        <v>867.1</v>
      </c>
      <c r="M57" s="21"/>
      <c r="N57" s="13">
        <f t="shared" si="0"/>
        <v>867.1</v>
      </c>
      <c r="O57" s="13"/>
      <c r="P57" s="13"/>
      <c r="Q57" s="13"/>
    </row>
    <row r="58" spans="1:17" ht="47.25" customHeight="1" hidden="1">
      <c r="A58" s="22"/>
      <c r="B58" s="23" t="s">
        <v>87</v>
      </c>
      <c r="C58" s="57" t="s">
        <v>29</v>
      </c>
      <c r="D58" s="57" t="s">
        <v>88</v>
      </c>
      <c r="E58" s="58"/>
      <c r="F58" s="57"/>
      <c r="G58" s="59">
        <f>G59+G62</f>
        <v>762.03</v>
      </c>
      <c r="H58" s="59">
        <f>H59+H62</f>
        <v>762.03</v>
      </c>
      <c r="I58" s="60">
        <f>I59+I62</f>
        <v>762.03</v>
      </c>
      <c r="J58" s="82">
        <f t="shared" si="8"/>
        <v>2</v>
      </c>
      <c r="K58" s="101">
        <f>K59+K62</f>
        <v>861.1089999999999</v>
      </c>
      <c r="L58" s="21">
        <f>L59+L62</f>
        <v>865.1</v>
      </c>
      <c r="M58" s="21"/>
      <c r="N58" s="13">
        <f t="shared" si="0"/>
        <v>865.1</v>
      </c>
      <c r="O58" s="13"/>
      <c r="P58" s="13"/>
      <c r="Q58" s="13"/>
    </row>
    <row r="59" spans="1:17" ht="51.75" customHeight="1" hidden="1">
      <c r="A59" s="22"/>
      <c r="B59" s="23" t="s">
        <v>89</v>
      </c>
      <c r="C59" s="57" t="s">
        <v>29</v>
      </c>
      <c r="D59" s="57" t="s">
        <v>88</v>
      </c>
      <c r="E59" s="58" t="s">
        <v>34</v>
      </c>
      <c r="F59" s="57"/>
      <c r="G59" s="59">
        <f>G61</f>
        <v>10</v>
      </c>
      <c r="H59" s="59">
        <f>H61</f>
        <v>10</v>
      </c>
      <c r="I59" s="60">
        <f>I61</f>
        <v>10</v>
      </c>
      <c r="J59" s="82">
        <f t="shared" si="8"/>
        <v>2</v>
      </c>
      <c r="K59" s="102">
        <f>K61</f>
        <v>109.079</v>
      </c>
      <c r="L59" s="21">
        <f>L60</f>
        <v>80.37</v>
      </c>
      <c r="M59" s="21"/>
      <c r="N59" s="13">
        <f t="shared" si="0"/>
        <v>80.37</v>
      </c>
      <c r="O59" s="13"/>
      <c r="P59" s="13"/>
      <c r="Q59" s="13"/>
    </row>
    <row r="60" spans="1:17" ht="35.25" customHeight="1" hidden="1">
      <c r="A60" s="22"/>
      <c r="B60" s="61" t="s">
        <v>90</v>
      </c>
      <c r="C60" s="42" t="s">
        <v>29</v>
      </c>
      <c r="D60" s="42" t="s">
        <v>88</v>
      </c>
      <c r="E60" s="43" t="s">
        <v>91</v>
      </c>
      <c r="F60" s="42"/>
      <c r="G60" s="44">
        <f>G61</f>
        <v>10</v>
      </c>
      <c r="H60" s="44">
        <f>H61</f>
        <v>10</v>
      </c>
      <c r="I60" s="48">
        <f>I61</f>
        <v>10</v>
      </c>
      <c r="J60" s="82">
        <f t="shared" si="8"/>
        <v>2</v>
      </c>
      <c r="K60" s="103">
        <f>K61</f>
        <v>109.079</v>
      </c>
      <c r="L60" s="34">
        <f>L61</f>
        <v>80.37</v>
      </c>
      <c r="M60" s="34"/>
      <c r="N60" s="13">
        <f t="shared" si="0"/>
        <v>80.37</v>
      </c>
      <c r="O60" s="13"/>
      <c r="P60" s="13"/>
      <c r="Q60" s="13"/>
    </row>
    <row r="61" spans="1:17" ht="46.5" customHeight="1" hidden="1">
      <c r="A61" s="22"/>
      <c r="B61" s="104" t="s">
        <v>92</v>
      </c>
      <c r="C61" s="42" t="s">
        <v>29</v>
      </c>
      <c r="D61" s="42" t="s">
        <v>88</v>
      </c>
      <c r="E61" s="43" t="s">
        <v>93</v>
      </c>
      <c r="F61" s="42" t="s">
        <v>32</v>
      </c>
      <c r="G61" s="44">
        <v>10</v>
      </c>
      <c r="H61" s="44">
        <v>10</v>
      </c>
      <c r="I61" s="48">
        <v>10</v>
      </c>
      <c r="J61" s="82">
        <f t="shared" si="8"/>
        <v>2</v>
      </c>
      <c r="K61" s="103">
        <f>10+99.079</f>
        <v>109.079</v>
      </c>
      <c r="L61" s="34">
        <v>80.37</v>
      </c>
      <c r="M61" s="34"/>
      <c r="N61" s="13">
        <f t="shared" si="0"/>
        <v>80.37</v>
      </c>
      <c r="O61" s="13"/>
      <c r="P61" s="13"/>
      <c r="Q61" s="13"/>
    </row>
    <row r="62" spans="1:17" ht="18.75" customHeight="1" hidden="1">
      <c r="A62" s="22"/>
      <c r="B62" s="61" t="s">
        <v>94</v>
      </c>
      <c r="C62" s="42" t="s">
        <v>29</v>
      </c>
      <c r="D62" s="42" t="s">
        <v>88</v>
      </c>
      <c r="E62" s="43" t="s">
        <v>22</v>
      </c>
      <c r="F62" s="42"/>
      <c r="G62" s="44">
        <f aca="true" t="shared" si="9" ref="G62:I63">G63</f>
        <v>752.03</v>
      </c>
      <c r="H62" s="44">
        <f t="shared" si="9"/>
        <v>752.03</v>
      </c>
      <c r="I62" s="48">
        <f t="shared" si="9"/>
        <v>752.03</v>
      </c>
      <c r="J62" s="82">
        <f t="shared" si="8"/>
        <v>2</v>
      </c>
      <c r="K62" s="48">
        <f>K63</f>
        <v>752.03</v>
      </c>
      <c r="L62" s="34">
        <f>L63</f>
        <v>784.73</v>
      </c>
      <c r="M62" s="34"/>
      <c r="N62" s="13">
        <f t="shared" si="0"/>
        <v>784.73</v>
      </c>
      <c r="O62" s="13"/>
      <c r="P62" s="13"/>
      <c r="Q62" s="13"/>
    </row>
    <row r="63" spans="1:17" ht="23.25" customHeight="1" hidden="1">
      <c r="A63" s="22"/>
      <c r="B63" s="61" t="s">
        <v>23</v>
      </c>
      <c r="C63" s="42" t="s">
        <v>29</v>
      </c>
      <c r="D63" s="42" t="s">
        <v>88</v>
      </c>
      <c r="E63" s="43" t="s">
        <v>37</v>
      </c>
      <c r="F63" s="42"/>
      <c r="G63" s="44">
        <f t="shared" si="9"/>
        <v>752.03</v>
      </c>
      <c r="H63" s="44">
        <f t="shared" si="9"/>
        <v>752.03</v>
      </c>
      <c r="I63" s="48">
        <f t="shared" si="9"/>
        <v>752.03</v>
      </c>
      <c r="J63" s="82">
        <f t="shared" si="8"/>
        <v>2</v>
      </c>
      <c r="K63" s="48">
        <f>K64</f>
        <v>752.03</v>
      </c>
      <c r="L63" s="34">
        <f>L64</f>
        <v>784.73</v>
      </c>
      <c r="M63" s="34"/>
      <c r="N63" s="13">
        <f t="shared" si="0"/>
        <v>784.73</v>
      </c>
      <c r="O63" s="13"/>
      <c r="P63" s="13"/>
      <c r="Q63" s="13"/>
    </row>
    <row r="64" spans="1:17" ht="49.5" customHeight="1" hidden="1">
      <c r="A64" s="22"/>
      <c r="B64" s="104" t="s">
        <v>95</v>
      </c>
      <c r="C64" s="42" t="s">
        <v>29</v>
      </c>
      <c r="D64" s="42" t="s">
        <v>88</v>
      </c>
      <c r="E64" s="43" t="s">
        <v>96</v>
      </c>
      <c r="F64" s="105" t="s">
        <v>97</v>
      </c>
      <c r="G64" s="47">
        <v>752.03</v>
      </c>
      <c r="H64" s="47">
        <v>752.03</v>
      </c>
      <c r="I64" s="48">
        <v>752.03</v>
      </c>
      <c r="J64" s="82">
        <f t="shared" si="8"/>
        <v>2</v>
      </c>
      <c r="K64" s="48">
        <v>752.03</v>
      </c>
      <c r="L64" s="34">
        <v>784.73</v>
      </c>
      <c r="M64" s="34"/>
      <c r="N64" s="13">
        <f t="shared" si="0"/>
        <v>784.73</v>
      </c>
      <c r="O64" s="13"/>
      <c r="P64" s="13"/>
      <c r="Q64" s="13"/>
    </row>
    <row r="65" spans="1:17" ht="36.75" customHeight="1" hidden="1">
      <c r="A65" s="22"/>
      <c r="B65" s="106" t="s">
        <v>98</v>
      </c>
      <c r="C65" s="57" t="s">
        <v>29</v>
      </c>
      <c r="D65" s="57" t="s">
        <v>99</v>
      </c>
      <c r="E65" s="58"/>
      <c r="F65" s="57"/>
      <c r="G65" s="59">
        <f>G66</f>
        <v>2</v>
      </c>
      <c r="H65" s="59">
        <f>H66</f>
        <v>2</v>
      </c>
      <c r="I65" s="60">
        <f>I66</f>
        <v>2</v>
      </c>
      <c r="J65" s="82">
        <f t="shared" si="8"/>
        <v>2</v>
      </c>
      <c r="K65" s="60">
        <f>K66</f>
        <v>2</v>
      </c>
      <c r="L65" s="107">
        <f>L66</f>
        <v>2</v>
      </c>
      <c r="M65" s="107"/>
      <c r="N65" s="13">
        <f t="shared" si="0"/>
        <v>2</v>
      </c>
      <c r="O65" s="13"/>
      <c r="P65" s="13"/>
      <c r="Q65" s="13"/>
    </row>
    <row r="66" spans="1:17" ht="60.75" customHeight="1" hidden="1">
      <c r="A66" s="22"/>
      <c r="B66" s="108" t="s">
        <v>100</v>
      </c>
      <c r="C66" s="109" t="s">
        <v>29</v>
      </c>
      <c r="D66" s="109" t="s">
        <v>99</v>
      </c>
      <c r="E66" s="110" t="s">
        <v>101</v>
      </c>
      <c r="F66" s="57"/>
      <c r="G66" s="59">
        <f>G68</f>
        <v>2</v>
      </c>
      <c r="H66" s="59">
        <f>H68</f>
        <v>2</v>
      </c>
      <c r="I66" s="60">
        <f>I68</f>
        <v>2</v>
      </c>
      <c r="J66" s="82">
        <f t="shared" si="8"/>
        <v>2</v>
      </c>
      <c r="K66" s="60">
        <f>K68</f>
        <v>2</v>
      </c>
      <c r="L66" s="107">
        <f>L67</f>
        <v>2</v>
      </c>
      <c r="M66" s="107"/>
      <c r="N66" s="13">
        <f t="shared" si="0"/>
        <v>2</v>
      </c>
      <c r="O66" s="13"/>
      <c r="P66" s="13"/>
      <c r="Q66" s="13"/>
    </row>
    <row r="67" spans="1:17" ht="35.25" customHeight="1" hidden="1">
      <c r="A67" s="22"/>
      <c r="B67" s="111" t="s">
        <v>102</v>
      </c>
      <c r="C67" s="112" t="s">
        <v>29</v>
      </c>
      <c r="D67" s="112" t="s">
        <v>99</v>
      </c>
      <c r="E67" s="51" t="s">
        <v>103</v>
      </c>
      <c r="F67" s="42"/>
      <c r="G67" s="44">
        <f>G68</f>
        <v>2</v>
      </c>
      <c r="H67" s="44">
        <f>H68</f>
        <v>2</v>
      </c>
      <c r="I67" s="48">
        <f>I68</f>
        <v>2</v>
      </c>
      <c r="J67" s="82">
        <f t="shared" si="8"/>
        <v>2</v>
      </c>
      <c r="K67" s="48">
        <f>K68</f>
        <v>2</v>
      </c>
      <c r="L67" s="84">
        <f>L68</f>
        <v>2</v>
      </c>
      <c r="M67" s="84"/>
      <c r="N67" s="13">
        <f t="shared" si="0"/>
        <v>2</v>
      </c>
      <c r="O67" s="13"/>
      <c r="P67" s="13"/>
      <c r="Q67" s="13"/>
    </row>
    <row r="68" spans="1:17" ht="33.75" customHeight="1" hidden="1">
      <c r="A68" s="22"/>
      <c r="B68" s="111" t="s">
        <v>55</v>
      </c>
      <c r="C68" s="112" t="s">
        <v>29</v>
      </c>
      <c r="D68" s="112" t="s">
        <v>99</v>
      </c>
      <c r="E68" s="51" t="s">
        <v>104</v>
      </c>
      <c r="F68" s="42" t="s">
        <v>32</v>
      </c>
      <c r="G68" s="44">
        <v>2</v>
      </c>
      <c r="H68" s="44">
        <v>2</v>
      </c>
      <c r="I68" s="48">
        <v>2</v>
      </c>
      <c r="J68" s="82">
        <f t="shared" si="8"/>
        <v>2</v>
      </c>
      <c r="K68" s="48">
        <v>2</v>
      </c>
      <c r="L68" s="84">
        <v>2</v>
      </c>
      <c r="M68" s="84"/>
      <c r="N68" s="13">
        <f t="shared" si="0"/>
        <v>2</v>
      </c>
      <c r="O68" s="13"/>
      <c r="P68" s="13"/>
      <c r="Q68" s="13"/>
    </row>
    <row r="69" spans="1:17" ht="25.5" customHeight="1">
      <c r="A69" s="22"/>
      <c r="B69" s="106" t="s">
        <v>105</v>
      </c>
      <c r="C69" s="57" t="s">
        <v>34</v>
      </c>
      <c r="D69" s="57"/>
      <c r="E69" s="58"/>
      <c r="F69" s="57"/>
      <c r="G69" s="59" t="e">
        <f>G70+G74+G78+G100</f>
        <v>#REF!</v>
      </c>
      <c r="H69" s="59" t="e">
        <f>H70+H74+H78+H100</f>
        <v>#REF!</v>
      </c>
      <c r="I69" s="65" t="e">
        <f>I70+I74+I78+I100</f>
        <v>#REF!</v>
      </c>
      <c r="J69" s="20" t="e">
        <f aca="true" t="shared" si="10" ref="J69:J82">I69-H69</f>
        <v>#REF!</v>
      </c>
      <c r="K69" s="65" t="e">
        <f>K70+K74+K78+K100</f>
        <v>#REF!</v>
      </c>
      <c r="L69" s="21">
        <f>L70+L78+L100+L74</f>
        <v>13993.1</v>
      </c>
      <c r="M69" s="21">
        <f>M70+M78+M100+M74</f>
        <v>20</v>
      </c>
      <c r="N69" s="13">
        <f t="shared" si="0"/>
        <v>14013.1</v>
      </c>
      <c r="O69" s="13">
        <f>L69+M69</f>
        <v>14013.1</v>
      </c>
      <c r="P69" s="21">
        <f>P70+P78+P100+P74</f>
        <v>0</v>
      </c>
      <c r="Q69" s="13">
        <f aca="true" t="shared" si="11" ref="Q69:Q80">O69+P69</f>
        <v>14013.1</v>
      </c>
    </row>
    <row r="70" spans="1:17" ht="15" customHeight="1">
      <c r="A70" s="22"/>
      <c r="B70" s="113" t="s">
        <v>106</v>
      </c>
      <c r="C70" s="57" t="s">
        <v>34</v>
      </c>
      <c r="D70" s="57" t="s">
        <v>18</v>
      </c>
      <c r="E70" s="58"/>
      <c r="F70" s="57"/>
      <c r="G70" s="64">
        <f aca="true" t="shared" si="12" ref="G70:I72">G71</f>
        <v>750</v>
      </c>
      <c r="H70" s="64">
        <f t="shared" si="12"/>
        <v>750</v>
      </c>
      <c r="I70" s="60">
        <f t="shared" si="12"/>
        <v>750</v>
      </c>
      <c r="J70" s="114">
        <f t="shared" si="10"/>
        <v>0</v>
      </c>
      <c r="K70" s="60">
        <f aca="true" t="shared" si="13" ref="K70:M71">K71</f>
        <v>3017.78</v>
      </c>
      <c r="L70" s="34">
        <f t="shared" si="13"/>
        <v>500</v>
      </c>
      <c r="M70" s="34">
        <f t="shared" si="13"/>
        <v>0</v>
      </c>
      <c r="N70" s="13">
        <f t="shared" si="0"/>
        <v>500</v>
      </c>
      <c r="O70" s="13">
        <v>500</v>
      </c>
      <c r="P70" s="13">
        <v>-50</v>
      </c>
      <c r="Q70" s="13">
        <f t="shared" si="11"/>
        <v>450</v>
      </c>
    </row>
    <row r="71" spans="1:17" ht="22.5" customHeight="1">
      <c r="A71" s="22"/>
      <c r="B71" s="104" t="s">
        <v>21</v>
      </c>
      <c r="C71" s="42" t="s">
        <v>34</v>
      </c>
      <c r="D71" s="42" t="s">
        <v>18</v>
      </c>
      <c r="E71" s="43" t="s">
        <v>22</v>
      </c>
      <c r="F71" s="57"/>
      <c r="G71" s="47">
        <f t="shared" si="12"/>
        <v>750</v>
      </c>
      <c r="H71" s="47">
        <f t="shared" si="12"/>
        <v>750</v>
      </c>
      <c r="I71" s="48">
        <f t="shared" si="12"/>
        <v>750</v>
      </c>
      <c r="J71" s="114">
        <f t="shared" si="10"/>
        <v>0</v>
      </c>
      <c r="K71" s="48">
        <f t="shared" si="13"/>
        <v>3017.78</v>
      </c>
      <c r="L71" s="34">
        <f t="shared" si="13"/>
        <v>500</v>
      </c>
      <c r="M71" s="34">
        <f t="shared" si="13"/>
        <v>0</v>
      </c>
      <c r="N71" s="13">
        <f t="shared" si="0"/>
        <v>500</v>
      </c>
      <c r="O71" s="13">
        <v>500</v>
      </c>
      <c r="P71" s="13">
        <v>-50</v>
      </c>
      <c r="Q71" s="13">
        <f t="shared" si="11"/>
        <v>450</v>
      </c>
    </row>
    <row r="72" spans="1:17" ht="25.5" customHeight="1">
      <c r="A72" s="22"/>
      <c r="B72" s="61" t="s">
        <v>23</v>
      </c>
      <c r="C72" s="42" t="s">
        <v>34</v>
      </c>
      <c r="D72" s="42" t="s">
        <v>18</v>
      </c>
      <c r="E72" s="43" t="s">
        <v>37</v>
      </c>
      <c r="F72" s="57"/>
      <c r="G72" s="47">
        <f t="shared" si="12"/>
        <v>750</v>
      </c>
      <c r="H72" s="47">
        <f t="shared" si="12"/>
        <v>750</v>
      </c>
      <c r="I72" s="48">
        <f t="shared" si="12"/>
        <v>750</v>
      </c>
      <c r="J72" s="114">
        <f t="shared" si="10"/>
        <v>0</v>
      </c>
      <c r="K72" s="48">
        <f>K73</f>
        <v>3017.78</v>
      </c>
      <c r="L72" s="34">
        <f>L73</f>
        <v>500</v>
      </c>
      <c r="M72" s="34"/>
      <c r="N72" s="13">
        <f t="shared" si="0"/>
        <v>500</v>
      </c>
      <c r="O72" s="13">
        <v>500</v>
      </c>
      <c r="P72" s="13">
        <v>-50</v>
      </c>
      <c r="Q72" s="13">
        <f t="shared" si="11"/>
        <v>450</v>
      </c>
    </row>
    <row r="73" spans="1:17" ht="66.75" customHeight="1">
      <c r="A73" s="22"/>
      <c r="B73" s="111" t="s">
        <v>107</v>
      </c>
      <c r="C73" s="42" t="s">
        <v>34</v>
      </c>
      <c r="D73" s="42" t="s">
        <v>18</v>
      </c>
      <c r="E73" s="43" t="s">
        <v>108</v>
      </c>
      <c r="F73" s="75" t="s">
        <v>44</v>
      </c>
      <c r="G73" s="47">
        <f>1000-250</f>
        <v>750</v>
      </c>
      <c r="H73" s="47">
        <f>1000-250</f>
        <v>750</v>
      </c>
      <c r="I73" s="48">
        <f>1000-250-750+750</f>
        <v>750</v>
      </c>
      <c r="J73" s="114">
        <f t="shared" si="10"/>
        <v>0</v>
      </c>
      <c r="K73" s="48">
        <f>1000-250-750+750-200-100+200+100+2267.78</f>
        <v>3017.78</v>
      </c>
      <c r="L73" s="34">
        <f>600-100</f>
        <v>500</v>
      </c>
      <c r="M73" s="34">
        <v>0</v>
      </c>
      <c r="N73" s="13">
        <f t="shared" si="0"/>
        <v>500</v>
      </c>
      <c r="O73" s="13">
        <v>500</v>
      </c>
      <c r="P73" s="13">
        <v>-50</v>
      </c>
      <c r="Q73" s="13">
        <f t="shared" si="11"/>
        <v>450</v>
      </c>
    </row>
    <row r="74" spans="1:17" ht="20.25" customHeight="1">
      <c r="A74" s="22"/>
      <c r="B74" s="106" t="s">
        <v>109</v>
      </c>
      <c r="C74" s="57" t="s">
        <v>34</v>
      </c>
      <c r="D74" s="57" t="s">
        <v>110</v>
      </c>
      <c r="E74" s="58"/>
      <c r="F74" s="57"/>
      <c r="G74" s="59">
        <f>G75</f>
        <v>50</v>
      </c>
      <c r="H74" s="59">
        <f>H75</f>
        <v>150</v>
      </c>
      <c r="I74" s="60">
        <f>I75</f>
        <v>150</v>
      </c>
      <c r="J74" s="28">
        <f t="shared" si="10"/>
        <v>0</v>
      </c>
      <c r="K74" s="60">
        <f>K75</f>
        <v>150</v>
      </c>
      <c r="L74" s="21">
        <f>L75</f>
        <v>50</v>
      </c>
      <c r="M74" s="21"/>
      <c r="N74" s="13">
        <f t="shared" si="0"/>
        <v>50</v>
      </c>
      <c r="O74" s="21">
        <f>O75</f>
        <v>50</v>
      </c>
      <c r="P74" s="13">
        <v>-50</v>
      </c>
      <c r="Q74" s="13">
        <f t="shared" si="11"/>
        <v>0</v>
      </c>
    </row>
    <row r="75" spans="1:17" ht="83.25" customHeight="1">
      <c r="A75" s="22"/>
      <c r="B75" s="23" t="s">
        <v>111</v>
      </c>
      <c r="C75" s="57" t="s">
        <v>34</v>
      </c>
      <c r="D75" s="57" t="s">
        <v>110</v>
      </c>
      <c r="E75" s="58" t="s">
        <v>112</v>
      </c>
      <c r="F75" s="42"/>
      <c r="G75" s="44">
        <f>G77</f>
        <v>50</v>
      </c>
      <c r="H75" s="44">
        <f>H77</f>
        <v>150</v>
      </c>
      <c r="I75" s="48">
        <f>I77</f>
        <v>150</v>
      </c>
      <c r="J75" s="28">
        <f t="shared" si="10"/>
        <v>0</v>
      </c>
      <c r="K75" s="48">
        <f>K77</f>
        <v>150</v>
      </c>
      <c r="L75" s="21">
        <f>L76</f>
        <v>50</v>
      </c>
      <c r="M75" s="21"/>
      <c r="N75" s="13">
        <f t="shared" si="0"/>
        <v>50</v>
      </c>
      <c r="O75" s="21">
        <f>O76</f>
        <v>50</v>
      </c>
      <c r="P75" s="13">
        <v>-50</v>
      </c>
      <c r="Q75" s="13">
        <f t="shared" si="11"/>
        <v>0</v>
      </c>
    </row>
    <row r="76" spans="1:17" ht="38.25" customHeight="1">
      <c r="A76" s="22"/>
      <c r="B76" s="61" t="s">
        <v>113</v>
      </c>
      <c r="C76" s="42" t="s">
        <v>34</v>
      </c>
      <c r="D76" s="42" t="s">
        <v>110</v>
      </c>
      <c r="E76" s="43" t="s">
        <v>114</v>
      </c>
      <c r="F76" s="42"/>
      <c r="G76" s="44">
        <f>G77</f>
        <v>50</v>
      </c>
      <c r="H76" s="44">
        <f>H77</f>
        <v>150</v>
      </c>
      <c r="I76" s="48">
        <f>I77</f>
        <v>150</v>
      </c>
      <c r="J76" s="28">
        <f t="shared" si="10"/>
        <v>0</v>
      </c>
      <c r="K76" s="48">
        <f>K77</f>
        <v>150</v>
      </c>
      <c r="L76" s="34">
        <f>L77</f>
        <v>50</v>
      </c>
      <c r="M76" s="34"/>
      <c r="N76" s="13">
        <f t="shared" si="0"/>
        <v>50</v>
      </c>
      <c r="O76" s="34">
        <f>O77</f>
        <v>50</v>
      </c>
      <c r="P76" s="13">
        <v>-50</v>
      </c>
      <c r="Q76" s="13">
        <f t="shared" si="11"/>
        <v>0</v>
      </c>
    </row>
    <row r="77" spans="1:17" ht="69.75" customHeight="1">
      <c r="A77" s="22"/>
      <c r="B77" s="61" t="s">
        <v>115</v>
      </c>
      <c r="C77" s="42" t="s">
        <v>34</v>
      </c>
      <c r="D77" s="42" t="s">
        <v>110</v>
      </c>
      <c r="E77" s="43" t="s">
        <v>116</v>
      </c>
      <c r="F77" s="42" t="s">
        <v>32</v>
      </c>
      <c r="G77" s="44">
        <v>50</v>
      </c>
      <c r="H77" s="44">
        <f>50+100</f>
        <v>150</v>
      </c>
      <c r="I77" s="48">
        <f>50+100</f>
        <v>150</v>
      </c>
      <c r="J77" s="28">
        <f t="shared" si="10"/>
        <v>0</v>
      </c>
      <c r="K77" s="48">
        <f>50+100</f>
        <v>150</v>
      </c>
      <c r="L77" s="163">
        <v>50</v>
      </c>
      <c r="M77" s="34">
        <v>0</v>
      </c>
      <c r="N77" s="13">
        <f t="shared" si="0"/>
        <v>50</v>
      </c>
      <c r="O77" s="13">
        <f>L77+M77</f>
        <v>50</v>
      </c>
      <c r="P77" s="13">
        <v>-50</v>
      </c>
      <c r="Q77" s="13">
        <f t="shared" si="11"/>
        <v>0</v>
      </c>
    </row>
    <row r="78" spans="1:17" ht="19.5" customHeight="1">
      <c r="A78" s="22"/>
      <c r="B78" s="115" t="s">
        <v>117</v>
      </c>
      <c r="C78" s="57" t="s">
        <v>34</v>
      </c>
      <c r="D78" s="57" t="s">
        <v>118</v>
      </c>
      <c r="E78" s="58"/>
      <c r="F78" s="57"/>
      <c r="G78" s="64" t="e">
        <f>G79+#REF!</f>
        <v>#REF!</v>
      </c>
      <c r="H78" s="64" t="e">
        <f>H79+#REF!</f>
        <v>#REF!</v>
      </c>
      <c r="I78" s="65" t="e">
        <f>I79+#REF!</f>
        <v>#REF!</v>
      </c>
      <c r="J78" s="20" t="e">
        <f t="shared" si="10"/>
        <v>#REF!</v>
      </c>
      <c r="K78" s="65" t="e">
        <f>K79+#REF!</f>
        <v>#REF!</v>
      </c>
      <c r="L78" s="21">
        <f>L79+L93</f>
        <v>8694.6</v>
      </c>
      <c r="M78" s="21">
        <f>M79+M93+M90</f>
        <v>0</v>
      </c>
      <c r="N78" s="21">
        <f t="shared" si="0"/>
        <v>8694.6</v>
      </c>
      <c r="O78" s="13">
        <f>L78+M78</f>
        <v>8694.6</v>
      </c>
      <c r="P78" s="13">
        <f>P79+P93</f>
        <v>0</v>
      </c>
      <c r="Q78" s="13">
        <f t="shared" si="11"/>
        <v>8694.6</v>
      </c>
    </row>
    <row r="79" spans="1:17" ht="69.75" customHeight="1">
      <c r="A79" s="22"/>
      <c r="B79" s="115" t="s">
        <v>119</v>
      </c>
      <c r="C79" s="57" t="s">
        <v>34</v>
      </c>
      <c r="D79" s="57" t="s">
        <v>118</v>
      </c>
      <c r="E79" s="58" t="s">
        <v>120</v>
      </c>
      <c r="F79" s="57"/>
      <c r="G79" s="64">
        <f>G80+G85+G88</f>
        <v>5257.5</v>
      </c>
      <c r="H79" s="64" t="e">
        <f>H80+H85+H88</f>
        <v>#REF!</v>
      </c>
      <c r="I79" s="65" t="e">
        <f>I80+I85+I88</f>
        <v>#REF!</v>
      </c>
      <c r="J79" s="20" t="e">
        <f t="shared" si="10"/>
        <v>#REF!</v>
      </c>
      <c r="K79" s="116" t="e">
        <f>K80+K85+K88</f>
        <v>#REF!</v>
      </c>
      <c r="L79" s="21">
        <f>L80+L85+L88</f>
        <v>8349.6</v>
      </c>
      <c r="M79" s="21">
        <f>M80+M85+M88</f>
        <v>0</v>
      </c>
      <c r="N79" s="21">
        <f t="shared" si="0"/>
        <v>8349.6</v>
      </c>
      <c r="O79" s="13">
        <f>L79+M79</f>
        <v>8349.6</v>
      </c>
      <c r="P79" s="13">
        <f>P80+P85</f>
        <v>45</v>
      </c>
      <c r="Q79" s="13">
        <f t="shared" si="11"/>
        <v>8394.6</v>
      </c>
    </row>
    <row r="80" spans="1:17" ht="66.75" customHeight="1" hidden="1">
      <c r="A80" s="22"/>
      <c r="B80" s="29" t="s">
        <v>121</v>
      </c>
      <c r="C80" s="42" t="s">
        <v>34</v>
      </c>
      <c r="D80" s="42" t="s">
        <v>118</v>
      </c>
      <c r="E80" s="43" t="s">
        <v>122</v>
      </c>
      <c r="F80" s="42"/>
      <c r="G80" s="47">
        <f>G81+G82</f>
        <v>1457.5</v>
      </c>
      <c r="H80" s="47" t="e">
        <f>H81+H82+#REF!</f>
        <v>#REF!</v>
      </c>
      <c r="I80" s="79" t="e">
        <f>I81+I82+#REF!</f>
        <v>#REF!</v>
      </c>
      <c r="J80" s="117" t="e">
        <f t="shared" si="10"/>
        <v>#REF!</v>
      </c>
      <c r="K80" s="118" t="e">
        <f>K81+#REF!+K82</f>
        <v>#REF!</v>
      </c>
      <c r="L80" s="34">
        <f>L81+L82</f>
        <v>2501.9</v>
      </c>
      <c r="M80" s="119">
        <f>M82+M83+M84</f>
        <v>813.2133999999999</v>
      </c>
      <c r="N80" s="13">
        <f t="shared" si="0"/>
        <v>3315.1134</v>
      </c>
      <c r="O80" s="13">
        <f>L80+M80</f>
        <v>3315.1134</v>
      </c>
      <c r="P80" s="13">
        <f>P84</f>
        <v>0</v>
      </c>
      <c r="Q80" s="13">
        <f t="shared" si="11"/>
        <v>3315.1134</v>
      </c>
    </row>
    <row r="81" spans="1:17" ht="63" customHeight="1" hidden="1">
      <c r="A81" s="22"/>
      <c r="B81" s="36" t="s">
        <v>123</v>
      </c>
      <c r="C81" s="52" t="s">
        <v>34</v>
      </c>
      <c r="D81" s="52" t="s">
        <v>118</v>
      </c>
      <c r="E81" s="43" t="s">
        <v>124</v>
      </c>
      <c r="F81" s="42" t="s">
        <v>32</v>
      </c>
      <c r="G81" s="47">
        <v>457.5</v>
      </c>
      <c r="H81" s="47">
        <v>457.5</v>
      </c>
      <c r="I81" s="48">
        <v>457.5</v>
      </c>
      <c r="J81" s="28">
        <f t="shared" si="10"/>
        <v>0</v>
      </c>
      <c r="K81" s="63">
        <v>457.5</v>
      </c>
      <c r="L81" s="34">
        <v>401.9</v>
      </c>
      <c r="M81" s="34">
        <v>0</v>
      </c>
      <c r="N81" s="13">
        <f t="shared" si="0"/>
        <v>401.9</v>
      </c>
      <c r="O81" s="13"/>
      <c r="P81" s="13"/>
      <c r="Q81" s="13"/>
    </row>
    <row r="82" spans="1:17" ht="63.75" customHeight="1" hidden="1">
      <c r="A82" s="22"/>
      <c r="B82" s="36" t="s">
        <v>125</v>
      </c>
      <c r="C82" s="42" t="s">
        <v>34</v>
      </c>
      <c r="D82" s="42" t="s">
        <v>118</v>
      </c>
      <c r="E82" s="43" t="s">
        <v>126</v>
      </c>
      <c r="F82" s="42" t="s">
        <v>32</v>
      </c>
      <c r="G82" s="47">
        <v>1000</v>
      </c>
      <c r="H82" s="47">
        <v>1000</v>
      </c>
      <c r="I82" s="120">
        <f>1000+430.732</f>
        <v>1430.732</v>
      </c>
      <c r="J82" s="20">
        <f t="shared" si="10"/>
        <v>430.73199999999997</v>
      </c>
      <c r="K82" s="81">
        <f>1000+430.732+27183.9</f>
        <v>28614.632</v>
      </c>
      <c r="L82" s="34">
        <v>2100</v>
      </c>
      <c r="M82" s="34">
        <v>-2100</v>
      </c>
      <c r="N82" s="121">
        <f t="shared" si="0"/>
        <v>0</v>
      </c>
      <c r="O82" s="13">
        <f>L82+M82</f>
        <v>0</v>
      </c>
      <c r="P82" s="13">
        <v>0</v>
      </c>
      <c r="Q82" s="13">
        <f aca="true" t="shared" si="14" ref="Q82:Q95">O82+P82</f>
        <v>0</v>
      </c>
    </row>
    <row r="83" spans="1:17" ht="63" hidden="1">
      <c r="A83" s="22"/>
      <c r="B83" s="36" t="s">
        <v>127</v>
      </c>
      <c r="C83" s="42" t="s">
        <v>34</v>
      </c>
      <c r="D83" s="42" t="s">
        <v>118</v>
      </c>
      <c r="E83" s="43" t="s">
        <v>128</v>
      </c>
      <c r="F83" s="42" t="s">
        <v>97</v>
      </c>
      <c r="G83" s="47"/>
      <c r="H83" s="47"/>
      <c r="I83" s="120"/>
      <c r="J83" s="20"/>
      <c r="K83" s="81"/>
      <c r="L83" s="34">
        <v>0</v>
      </c>
      <c r="M83" s="119">
        <v>2643.7974</v>
      </c>
      <c r="N83" s="13">
        <f t="shared" si="0"/>
        <v>2643.7974</v>
      </c>
      <c r="O83" s="13">
        <f>L83+M83</f>
        <v>2643.7974</v>
      </c>
      <c r="P83" s="13">
        <v>0</v>
      </c>
      <c r="Q83" s="13">
        <f t="shared" si="14"/>
        <v>2643.7974</v>
      </c>
    </row>
    <row r="84" spans="1:17" ht="81.75" customHeight="1" hidden="1">
      <c r="A84" s="22"/>
      <c r="B84" s="36" t="s">
        <v>129</v>
      </c>
      <c r="C84" s="42" t="s">
        <v>34</v>
      </c>
      <c r="D84" s="42" t="s">
        <v>118</v>
      </c>
      <c r="E84" s="43" t="s">
        <v>126</v>
      </c>
      <c r="F84" s="42" t="s">
        <v>97</v>
      </c>
      <c r="G84" s="47"/>
      <c r="H84" s="47"/>
      <c r="I84" s="120"/>
      <c r="J84" s="20"/>
      <c r="K84" s="81"/>
      <c r="L84" s="34">
        <v>0</v>
      </c>
      <c r="M84" s="119">
        <f>269.41554+0.00046</f>
        <v>269.416</v>
      </c>
      <c r="N84" s="13">
        <f t="shared" si="0"/>
        <v>269.416</v>
      </c>
      <c r="O84" s="13">
        <f>L84+M84</f>
        <v>269.416</v>
      </c>
      <c r="P84" s="119">
        <v>0</v>
      </c>
      <c r="Q84" s="13">
        <f t="shared" si="14"/>
        <v>269.416</v>
      </c>
    </row>
    <row r="85" spans="1:17" ht="65.25" customHeight="1">
      <c r="A85" s="22"/>
      <c r="B85" s="29" t="s">
        <v>130</v>
      </c>
      <c r="C85" s="52" t="s">
        <v>34</v>
      </c>
      <c r="D85" s="52" t="s">
        <v>118</v>
      </c>
      <c r="E85" s="43" t="s">
        <v>131</v>
      </c>
      <c r="F85" s="42"/>
      <c r="G85" s="47">
        <f>G86</f>
        <v>3600</v>
      </c>
      <c r="H85" s="47">
        <f>H86</f>
        <v>3600</v>
      </c>
      <c r="I85" s="120" t="e">
        <f>I86+#REF!</f>
        <v>#REF!</v>
      </c>
      <c r="J85" s="20" t="e">
        <f>I85-H85</f>
        <v>#REF!</v>
      </c>
      <c r="K85" s="81" t="e">
        <f>K86+#REF!</f>
        <v>#REF!</v>
      </c>
      <c r="L85" s="34">
        <f>L86</f>
        <v>4900</v>
      </c>
      <c r="M85" s="34">
        <f>M86</f>
        <v>0</v>
      </c>
      <c r="N85" s="21">
        <f t="shared" si="0"/>
        <v>4900</v>
      </c>
      <c r="O85" s="34">
        <f>O86</f>
        <v>4900</v>
      </c>
      <c r="P85" s="21">
        <f>P86+P87</f>
        <v>45</v>
      </c>
      <c r="Q85" s="13">
        <f t="shared" si="14"/>
        <v>4945</v>
      </c>
    </row>
    <row r="86" spans="1:17" ht="80.25" customHeight="1">
      <c r="A86" s="22"/>
      <c r="B86" s="122" t="s">
        <v>132</v>
      </c>
      <c r="C86" s="52" t="s">
        <v>34</v>
      </c>
      <c r="D86" s="52" t="s">
        <v>118</v>
      </c>
      <c r="E86" s="43" t="s">
        <v>133</v>
      </c>
      <c r="F86" s="42" t="s">
        <v>32</v>
      </c>
      <c r="G86" s="47">
        <f>3300+300</f>
        <v>3600</v>
      </c>
      <c r="H86" s="47">
        <f>3300+300</f>
        <v>3600</v>
      </c>
      <c r="I86" s="120">
        <f>3300+300+450.52632-28+28</f>
        <v>4050.52632</v>
      </c>
      <c r="J86" s="20">
        <f>I86-H86</f>
        <v>450.52631999999994</v>
      </c>
      <c r="K86" s="81">
        <f>3300+300+450.52632-28+28+200+1000-1000+1000+281.5</f>
        <v>5532.02632</v>
      </c>
      <c r="L86" s="34">
        <f>4200+700</f>
        <v>4900</v>
      </c>
      <c r="M86" s="34">
        <v>0</v>
      </c>
      <c r="N86" s="21">
        <f t="shared" si="0"/>
        <v>4900</v>
      </c>
      <c r="O86" s="34">
        <f>4200+700</f>
        <v>4900</v>
      </c>
      <c r="P86" s="34">
        <f>-5</f>
        <v>-5</v>
      </c>
      <c r="Q86" s="13">
        <f t="shared" si="14"/>
        <v>4895</v>
      </c>
    </row>
    <row r="87" spans="1:17" ht="70.5" customHeight="1">
      <c r="A87" s="22"/>
      <c r="B87" s="122" t="s">
        <v>317</v>
      </c>
      <c r="C87" s="52" t="s">
        <v>34</v>
      </c>
      <c r="D87" s="52" t="s">
        <v>118</v>
      </c>
      <c r="E87" s="43" t="s">
        <v>133</v>
      </c>
      <c r="F87" s="42" t="s">
        <v>44</v>
      </c>
      <c r="G87" s="47"/>
      <c r="H87" s="47"/>
      <c r="I87" s="120"/>
      <c r="J87" s="20"/>
      <c r="K87" s="81"/>
      <c r="L87" s="34">
        <v>0</v>
      </c>
      <c r="M87" s="34">
        <v>0</v>
      </c>
      <c r="N87" s="21"/>
      <c r="O87" s="34">
        <v>0</v>
      </c>
      <c r="P87" s="34">
        <v>50</v>
      </c>
      <c r="Q87" s="13">
        <f t="shared" si="14"/>
        <v>50</v>
      </c>
    </row>
    <row r="88" spans="1:17" ht="36.75" customHeight="1" hidden="1">
      <c r="A88" s="22"/>
      <c r="B88" s="123" t="s">
        <v>134</v>
      </c>
      <c r="C88" s="52" t="s">
        <v>34</v>
      </c>
      <c r="D88" s="52" t="s">
        <v>118</v>
      </c>
      <c r="E88" s="43" t="s">
        <v>135</v>
      </c>
      <c r="F88" s="42"/>
      <c r="G88" s="47">
        <f>G89</f>
        <v>200</v>
      </c>
      <c r="H88" s="47">
        <f>H89</f>
        <v>200</v>
      </c>
      <c r="I88" s="48">
        <f>I89</f>
        <v>200</v>
      </c>
      <c r="J88" s="28">
        <f>I88-H88</f>
        <v>0</v>
      </c>
      <c r="K88" s="63">
        <f>K89</f>
        <v>300</v>
      </c>
      <c r="L88" s="34">
        <f>L89</f>
        <v>947.7</v>
      </c>
      <c r="M88" s="119">
        <f>M89</f>
        <v>-813.2134</v>
      </c>
      <c r="N88" s="13">
        <f t="shared" si="0"/>
        <v>134.48660000000007</v>
      </c>
      <c r="O88" s="13">
        <f aca="true" t="shared" si="15" ref="O88:O95">L88+M88</f>
        <v>134.48660000000007</v>
      </c>
      <c r="P88" s="13">
        <v>0</v>
      </c>
      <c r="Q88" s="13">
        <f t="shared" si="14"/>
        <v>134.48660000000007</v>
      </c>
    </row>
    <row r="89" spans="1:17" ht="47.25" customHeight="1" hidden="1">
      <c r="A89" s="22"/>
      <c r="B89" s="29" t="s">
        <v>136</v>
      </c>
      <c r="C89" s="52" t="s">
        <v>34</v>
      </c>
      <c r="D89" s="52" t="s">
        <v>118</v>
      </c>
      <c r="E89" s="43" t="s">
        <v>137</v>
      </c>
      <c r="F89" s="42" t="s">
        <v>32</v>
      </c>
      <c r="G89" s="47">
        <v>200</v>
      </c>
      <c r="H89" s="47">
        <v>200</v>
      </c>
      <c r="I89" s="48">
        <v>200</v>
      </c>
      <c r="J89" s="28">
        <f>I89-H89</f>
        <v>0</v>
      </c>
      <c r="K89" s="63">
        <f>200+100</f>
        <v>300</v>
      </c>
      <c r="L89" s="34">
        <v>947.7</v>
      </c>
      <c r="M89" s="119">
        <f>-813.21294-0.00046</f>
        <v>-813.2134</v>
      </c>
      <c r="N89" s="13">
        <f t="shared" si="0"/>
        <v>134.48660000000007</v>
      </c>
      <c r="O89" s="13">
        <f t="shared" si="15"/>
        <v>134.48660000000007</v>
      </c>
      <c r="P89" s="13">
        <v>0</v>
      </c>
      <c r="Q89" s="13">
        <f t="shared" si="14"/>
        <v>134.48660000000007</v>
      </c>
    </row>
    <row r="90" spans="1:17" ht="141.75" hidden="1">
      <c r="A90" s="22"/>
      <c r="B90" s="106" t="s">
        <v>138</v>
      </c>
      <c r="C90" s="42" t="s">
        <v>34</v>
      </c>
      <c r="D90" s="42" t="s">
        <v>118</v>
      </c>
      <c r="E90" s="43" t="s">
        <v>139</v>
      </c>
      <c r="F90" s="42"/>
      <c r="G90" s="47"/>
      <c r="H90" s="47"/>
      <c r="I90" s="48"/>
      <c r="J90" s="28"/>
      <c r="K90" s="63"/>
      <c r="L90" s="34"/>
      <c r="M90" s="34">
        <f>M91</f>
        <v>300</v>
      </c>
      <c r="N90" s="21">
        <f t="shared" si="0"/>
        <v>300</v>
      </c>
      <c r="O90" s="13">
        <f t="shared" si="15"/>
        <v>300</v>
      </c>
      <c r="P90" s="13">
        <v>0</v>
      </c>
      <c r="Q90" s="13">
        <f t="shared" si="14"/>
        <v>300</v>
      </c>
    </row>
    <row r="91" spans="1:17" ht="63" hidden="1">
      <c r="A91" s="22"/>
      <c r="B91" s="29" t="s">
        <v>140</v>
      </c>
      <c r="C91" s="42" t="s">
        <v>34</v>
      </c>
      <c r="D91" s="42" t="s">
        <v>118</v>
      </c>
      <c r="E91" s="43" t="s">
        <v>141</v>
      </c>
      <c r="F91" s="42"/>
      <c r="G91" s="47"/>
      <c r="H91" s="47"/>
      <c r="I91" s="48"/>
      <c r="J91" s="28"/>
      <c r="K91" s="63"/>
      <c r="L91" s="34"/>
      <c r="M91" s="34">
        <f>M92</f>
        <v>300</v>
      </c>
      <c r="N91" s="21">
        <f t="shared" si="0"/>
        <v>300</v>
      </c>
      <c r="O91" s="13">
        <f t="shared" si="15"/>
        <v>300</v>
      </c>
      <c r="P91" s="13">
        <v>0</v>
      </c>
      <c r="Q91" s="13">
        <f t="shared" si="14"/>
        <v>300</v>
      </c>
    </row>
    <row r="92" spans="1:17" ht="47.25" customHeight="1" hidden="1">
      <c r="A92" s="22"/>
      <c r="B92" s="29" t="s">
        <v>142</v>
      </c>
      <c r="C92" s="42" t="s">
        <v>34</v>
      </c>
      <c r="D92" s="42" t="s">
        <v>118</v>
      </c>
      <c r="E92" s="124" t="s">
        <v>143</v>
      </c>
      <c r="F92" s="42" t="s">
        <v>32</v>
      </c>
      <c r="G92" s="47"/>
      <c r="H92" s="47"/>
      <c r="I92" s="48"/>
      <c r="J92" s="28"/>
      <c r="K92" s="63"/>
      <c r="L92" s="34">
        <v>0</v>
      </c>
      <c r="M92" s="34">
        <v>300</v>
      </c>
      <c r="N92" s="21">
        <f t="shared" si="0"/>
        <v>300</v>
      </c>
      <c r="O92" s="13">
        <f t="shared" si="15"/>
        <v>300</v>
      </c>
      <c r="P92" s="13">
        <v>0</v>
      </c>
      <c r="Q92" s="13">
        <f t="shared" si="14"/>
        <v>300</v>
      </c>
    </row>
    <row r="93" spans="1:17" ht="23.25" customHeight="1">
      <c r="A93" s="22"/>
      <c r="B93" s="61" t="s">
        <v>35</v>
      </c>
      <c r="C93" s="42" t="s">
        <v>34</v>
      </c>
      <c r="D93" s="42" t="s">
        <v>118</v>
      </c>
      <c r="E93" s="43" t="s">
        <v>22</v>
      </c>
      <c r="F93" s="42"/>
      <c r="G93" s="47"/>
      <c r="H93" s="47"/>
      <c r="I93" s="48"/>
      <c r="J93" s="28"/>
      <c r="K93" s="63"/>
      <c r="L93" s="34">
        <f>L94</f>
        <v>345</v>
      </c>
      <c r="M93" s="34">
        <f>M94</f>
        <v>-300</v>
      </c>
      <c r="N93" s="21">
        <f t="shared" si="0"/>
        <v>45</v>
      </c>
      <c r="O93" s="13">
        <f t="shared" si="15"/>
        <v>45</v>
      </c>
      <c r="P93" s="13">
        <f>P94</f>
        <v>-45</v>
      </c>
      <c r="Q93" s="13">
        <f t="shared" si="14"/>
        <v>0</v>
      </c>
    </row>
    <row r="94" spans="1:17" ht="23.25" customHeight="1">
      <c r="A94" s="22"/>
      <c r="B94" s="61" t="s">
        <v>23</v>
      </c>
      <c r="C94" s="42" t="s">
        <v>34</v>
      </c>
      <c r="D94" s="42" t="s">
        <v>118</v>
      </c>
      <c r="E94" s="43" t="s">
        <v>37</v>
      </c>
      <c r="F94" s="42"/>
      <c r="G94" s="47"/>
      <c r="H94" s="47"/>
      <c r="I94" s="48"/>
      <c r="J94" s="28"/>
      <c r="K94" s="63"/>
      <c r="L94" s="34">
        <f>L95+L99</f>
        <v>345</v>
      </c>
      <c r="M94" s="34">
        <f>M95+M99</f>
        <v>-300</v>
      </c>
      <c r="N94" s="21">
        <f t="shared" si="0"/>
        <v>45</v>
      </c>
      <c r="O94" s="13">
        <f t="shared" si="15"/>
        <v>45</v>
      </c>
      <c r="P94" s="13">
        <f>P95+P99</f>
        <v>-45</v>
      </c>
      <c r="Q94" s="13">
        <f t="shared" si="14"/>
        <v>0</v>
      </c>
    </row>
    <row r="95" spans="1:17" ht="149.25" customHeight="1" hidden="1">
      <c r="A95" s="22"/>
      <c r="B95" s="29" t="s">
        <v>144</v>
      </c>
      <c r="C95" s="42" t="s">
        <v>34</v>
      </c>
      <c r="D95" s="42" t="s">
        <v>118</v>
      </c>
      <c r="E95" s="43" t="s">
        <v>145</v>
      </c>
      <c r="F95" s="42" t="s">
        <v>32</v>
      </c>
      <c r="G95" s="47"/>
      <c r="H95" s="47"/>
      <c r="I95" s="48"/>
      <c r="J95" s="28"/>
      <c r="K95" s="63"/>
      <c r="L95" s="34">
        <v>300</v>
      </c>
      <c r="M95" s="34">
        <v>-300</v>
      </c>
      <c r="N95" s="21">
        <f t="shared" si="0"/>
        <v>0</v>
      </c>
      <c r="O95" s="13">
        <f t="shared" si="15"/>
        <v>0</v>
      </c>
      <c r="P95" s="13">
        <v>0</v>
      </c>
      <c r="Q95" s="13">
        <f t="shared" si="14"/>
        <v>0</v>
      </c>
    </row>
    <row r="96" spans="1:17" ht="84" customHeight="1" hidden="1">
      <c r="A96" s="22"/>
      <c r="G96"/>
      <c r="H96"/>
      <c r="I96"/>
      <c r="J96"/>
      <c r="K96"/>
      <c r="L96"/>
      <c r="M96"/>
      <c r="N96"/>
      <c r="O96"/>
      <c r="P96"/>
      <c r="Q96"/>
    </row>
    <row r="97" spans="1:17" ht="15" hidden="1">
      <c r="A97" s="22"/>
      <c r="G97"/>
      <c r="H97"/>
      <c r="I97"/>
      <c r="J97"/>
      <c r="K97"/>
      <c r="L97"/>
      <c r="M97"/>
      <c r="N97"/>
      <c r="O97"/>
      <c r="P97"/>
      <c r="Q97"/>
    </row>
    <row r="98" spans="1:17" ht="15" hidden="1">
      <c r="A98" s="22"/>
      <c r="G98"/>
      <c r="H98"/>
      <c r="I98"/>
      <c r="J98"/>
      <c r="K98"/>
      <c r="L98"/>
      <c r="M98"/>
      <c r="N98"/>
      <c r="O98"/>
      <c r="P98"/>
      <c r="Q98"/>
    </row>
    <row r="99" spans="1:17" ht="72.75" customHeight="1">
      <c r="A99" s="22"/>
      <c r="B99" s="104" t="s">
        <v>146</v>
      </c>
      <c r="C99" s="42" t="s">
        <v>34</v>
      </c>
      <c r="D99" s="42" t="s">
        <v>118</v>
      </c>
      <c r="E99" s="43" t="s">
        <v>147</v>
      </c>
      <c r="F99" s="42" t="s">
        <v>32</v>
      </c>
      <c r="G99" s="47"/>
      <c r="H99" s="47"/>
      <c r="I99" s="48"/>
      <c r="J99" s="28"/>
      <c r="K99" s="63"/>
      <c r="L99" s="34">
        <v>45</v>
      </c>
      <c r="M99" s="34">
        <v>0</v>
      </c>
      <c r="N99" s="13">
        <f aca="true" t="shared" si="16" ref="N99:N189">L99+M99</f>
        <v>45</v>
      </c>
      <c r="O99" s="34">
        <v>45</v>
      </c>
      <c r="P99" s="13">
        <v>-45</v>
      </c>
      <c r="Q99" s="13">
        <f>O99+P99</f>
        <v>0</v>
      </c>
    </row>
    <row r="100" spans="1:17" ht="31.5">
      <c r="A100" s="22"/>
      <c r="B100" s="23" t="s">
        <v>148</v>
      </c>
      <c r="C100" s="57" t="s">
        <v>34</v>
      </c>
      <c r="D100" s="57" t="s">
        <v>149</v>
      </c>
      <c r="E100" s="58"/>
      <c r="F100" s="57"/>
      <c r="G100" s="59" t="e">
        <f>G101+G107+G113+G104+G110+G116</f>
        <v>#REF!</v>
      </c>
      <c r="H100" s="59" t="e">
        <f>H101+H107+H113+H104+H110+H116</f>
        <v>#REF!</v>
      </c>
      <c r="I100" s="60" t="e">
        <f>I101+I107+I113+I104+I110+I116</f>
        <v>#REF!</v>
      </c>
      <c r="J100" s="28" t="e">
        <f aca="true" t="shared" si="17" ref="J100:J119">I100-H100</f>
        <v>#REF!</v>
      </c>
      <c r="K100" s="60" t="e">
        <f>K101+K107+K113+K104+K110+K116</f>
        <v>#REF!</v>
      </c>
      <c r="L100" s="21">
        <f>L101+L104+L107+L110+L113+L116</f>
        <v>4748.5</v>
      </c>
      <c r="M100" s="21">
        <f>M116</f>
        <v>20</v>
      </c>
      <c r="N100" s="13">
        <f t="shared" si="16"/>
        <v>4768.5</v>
      </c>
      <c r="O100" s="13">
        <f>L100+M100</f>
        <v>4768.5</v>
      </c>
      <c r="P100" s="21">
        <v>100</v>
      </c>
      <c r="Q100" s="13">
        <f>O100+P100</f>
        <v>4868.5</v>
      </c>
    </row>
    <row r="101" spans="1:17" ht="78.75" hidden="1">
      <c r="A101" s="22"/>
      <c r="B101" s="23" t="s">
        <v>150</v>
      </c>
      <c r="C101" s="57" t="s">
        <v>34</v>
      </c>
      <c r="D101" s="57" t="s">
        <v>151</v>
      </c>
      <c r="E101" s="58" t="s">
        <v>152</v>
      </c>
      <c r="F101" s="57"/>
      <c r="G101" s="59">
        <f>G103</f>
        <v>100</v>
      </c>
      <c r="H101" s="59">
        <f>H103</f>
        <v>100</v>
      </c>
      <c r="I101" s="60">
        <f>I103</f>
        <v>100</v>
      </c>
      <c r="J101" s="28">
        <f t="shared" si="17"/>
        <v>0</v>
      </c>
      <c r="K101" s="60">
        <f>K103</f>
        <v>100</v>
      </c>
      <c r="L101" s="21">
        <f>L102</f>
        <v>50</v>
      </c>
      <c r="M101" s="21"/>
      <c r="N101" s="13">
        <f t="shared" si="16"/>
        <v>50</v>
      </c>
      <c r="O101" s="13"/>
      <c r="P101" s="13"/>
      <c r="Q101" s="13"/>
    </row>
    <row r="102" spans="1:17" ht="31.5" hidden="1">
      <c r="A102" s="22"/>
      <c r="B102" s="61" t="s">
        <v>153</v>
      </c>
      <c r="C102" s="42" t="s">
        <v>34</v>
      </c>
      <c r="D102" s="42" t="s">
        <v>149</v>
      </c>
      <c r="E102" s="43" t="s">
        <v>154</v>
      </c>
      <c r="F102" s="42"/>
      <c r="G102" s="44">
        <f>G103</f>
        <v>100</v>
      </c>
      <c r="H102" s="44">
        <f>H103</f>
        <v>100</v>
      </c>
      <c r="I102" s="48">
        <f>I103</f>
        <v>100</v>
      </c>
      <c r="J102" s="28">
        <f t="shared" si="17"/>
        <v>0</v>
      </c>
      <c r="K102" s="48">
        <f>K103</f>
        <v>100</v>
      </c>
      <c r="L102" s="34">
        <f>L103</f>
        <v>50</v>
      </c>
      <c r="M102" s="34"/>
      <c r="N102" s="13">
        <f t="shared" si="16"/>
        <v>50</v>
      </c>
      <c r="O102" s="13"/>
      <c r="P102" s="13"/>
      <c r="Q102" s="13"/>
    </row>
    <row r="103" spans="1:17" ht="47.25" hidden="1">
      <c r="A103" s="22"/>
      <c r="B103" s="61" t="s">
        <v>155</v>
      </c>
      <c r="C103" s="42" t="s">
        <v>34</v>
      </c>
      <c r="D103" s="42" t="s">
        <v>149</v>
      </c>
      <c r="E103" s="43" t="s">
        <v>156</v>
      </c>
      <c r="F103" s="42" t="s">
        <v>32</v>
      </c>
      <c r="G103" s="47">
        <v>100</v>
      </c>
      <c r="H103" s="47">
        <v>100</v>
      </c>
      <c r="I103" s="48">
        <v>100</v>
      </c>
      <c r="J103" s="28">
        <f t="shared" si="17"/>
        <v>0</v>
      </c>
      <c r="K103" s="48">
        <v>100</v>
      </c>
      <c r="L103" s="34">
        <v>50</v>
      </c>
      <c r="M103" s="34"/>
      <c r="N103" s="13">
        <f t="shared" si="16"/>
        <v>50</v>
      </c>
      <c r="O103" s="13"/>
      <c r="P103" s="13"/>
      <c r="Q103" s="13"/>
    </row>
    <row r="104" spans="1:17" ht="110.25" hidden="1">
      <c r="A104" s="22"/>
      <c r="B104" s="23" t="s">
        <v>157</v>
      </c>
      <c r="C104" s="57" t="s">
        <v>34</v>
      </c>
      <c r="D104" s="57" t="s">
        <v>149</v>
      </c>
      <c r="E104" s="74" t="s">
        <v>118</v>
      </c>
      <c r="F104" s="75"/>
      <c r="G104" s="44">
        <f>G106</f>
        <v>100</v>
      </c>
      <c r="H104" s="44">
        <f>H106</f>
        <v>100</v>
      </c>
      <c r="I104" s="48">
        <f>I106</f>
        <v>100</v>
      </c>
      <c r="J104" s="28">
        <f t="shared" si="17"/>
        <v>0</v>
      </c>
      <c r="K104" s="48">
        <f>K106</f>
        <v>100</v>
      </c>
      <c r="L104" s="21">
        <f>L105</f>
        <v>50</v>
      </c>
      <c r="M104" s="21"/>
      <c r="N104" s="13">
        <f t="shared" si="16"/>
        <v>50</v>
      </c>
      <c r="O104" s="13"/>
      <c r="P104" s="13"/>
      <c r="Q104" s="13"/>
    </row>
    <row r="105" spans="1:17" ht="31.5" hidden="1">
      <c r="A105" s="22"/>
      <c r="B105" s="61" t="s">
        <v>158</v>
      </c>
      <c r="C105" s="42" t="s">
        <v>34</v>
      </c>
      <c r="D105" s="42" t="s">
        <v>149</v>
      </c>
      <c r="E105" s="124" t="s">
        <v>159</v>
      </c>
      <c r="F105" s="75"/>
      <c r="G105" s="44">
        <f>G106</f>
        <v>100</v>
      </c>
      <c r="H105" s="44">
        <f>H106</f>
        <v>100</v>
      </c>
      <c r="I105" s="48">
        <f>I106</f>
        <v>100</v>
      </c>
      <c r="J105" s="28">
        <f t="shared" si="17"/>
        <v>0</v>
      </c>
      <c r="K105" s="48">
        <f>K106</f>
        <v>100</v>
      </c>
      <c r="L105" s="34">
        <f>L106</f>
        <v>50</v>
      </c>
      <c r="M105" s="34"/>
      <c r="N105" s="13">
        <f t="shared" si="16"/>
        <v>50</v>
      </c>
      <c r="O105" s="13"/>
      <c r="P105" s="13"/>
      <c r="Q105" s="13"/>
    </row>
    <row r="106" spans="1:17" ht="47.25" hidden="1">
      <c r="A106" s="22"/>
      <c r="B106" s="61" t="s">
        <v>55</v>
      </c>
      <c r="C106" s="42" t="s">
        <v>34</v>
      </c>
      <c r="D106" s="42" t="s">
        <v>149</v>
      </c>
      <c r="E106" s="124" t="s">
        <v>160</v>
      </c>
      <c r="F106" s="75" t="s">
        <v>32</v>
      </c>
      <c r="G106" s="47">
        <v>100</v>
      </c>
      <c r="H106" s="47">
        <v>100</v>
      </c>
      <c r="I106" s="48">
        <v>100</v>
      </c>
      <c r="J106" s="28">
        <f t="shared" si="17"/>
        <v>0</v>
      </c>
      <c r="K106" s="48">
        <v>100</v>
      </c>
      <c r="L106" s="34">
        <f>50</f>
        <v>50</v>
      </c>
      <c r="M106" s="34"/>
      <c r="N106" s="13">
        <f t="shared" si="16"/>
        <v>50</v>
      </c>
      <c r="O106" s="13"/>
      <c r="P106" s="13"/>
      <c r="Q106" s="13"/>
    </row>
    <row r="107" spans="1:17" ht="144" customHeight="1">
      <c r="A107" s="22"/>
      <c r="B107" s="23" t="s">
        <v>161</v>
      </c>
      <c r="C107" s="57" t="s">
        <v>34</v>
      </c>
      <c r="D107" s="57" t="s">
        <v>149</v>
      </c>
      <c r="E107" s="58" t="s">
        <v>88</v>
      </c>
      <c r="F107" s="57"/>
      <c r="G107" s="44">
        <f>G109</f>
        <v>60</v>
      </c>
      <c r="H107" s="44">
        <f>H109</f>
        <v>60</v>
      </c>
      <c r="I107" s="48">
        <f>I109</f>
        <v>60</v>
      </c>
      <c r="J107" s="28">
        <f t="shared" si="17"/>
        <v>0</v>
      </c>
      <c r="K107" s="48">
        <f>K109</f>
        <v>60</v>
      </c>
      <c r="L107" s="21">
        <f>L108</f>
        <v>60</v>
      </c>
      <c r="M107" s="21"/>
      <c r="N107" s="13">
        <f t="shared" si="16"/>
        <v>60</v>
      </c>
      <c r="O107" s="13">
        <f>O108</f>
        <v>60</v>
      </c>
      <c r="P107" s="13">
        <v>100</v>
      </c>
      <c r="Q107" s="13">
        <f>O107+P107</f>
        <v>160</v>
      </c>
    </row>
    <row r="108" spans="1:17" ht="39.75" customHeight="1">
      <c r="A108" s="22"/>
      <c r="B108" s="61" t="s">
        <v>162</v>
      </c>
      <c r="C108" s="42" t="s">
        <v>34</v>
      </c>
      <c r="D108" s="42" t="s">
        <v>149</v>
      </c>
      <c r="E108" s="43" t="s">
        <v>163</v>
      </c>
      <c r="F108" s="42"/>
      <c r="G108" s="44">
        <f>G109</f>
        <v>60</v>
      </c>
      <c r="H108" s="44">
        <f>H109</f>
        <v>60</v>
      </c>
      <c r="I108" s="48">
        <f>I109</f>
        <v>60</v>
      </c>
      <c r="J108" s="28">
        <f t="shared" si="17"/>
        <v>0</v>
      </c>
      <c r="K108" s="48">
        <f>K109</f>
        <v>60</v>
      </c>
      <c r="L108" s="34">
        <f>L109</f>
        <v>60</v>
      </c>
      <c r="M108" s="34"/>
      <c r="N108" s="13">
        <f t="shared" si="16"/>
        <v>60</v>
      </c>
      <c r="O108" s="13">
        <v>60</v>
      </c>
      <c r="P108" s="13">
        <v>100</v>
      </c>
      <c r="Q108" s="13">
        <f>O108+P108</f>
        <v>160</v>
      </c>
    </row>
    <row r="109" spans="1:17" ht="55.5" customHeight="1">
      <c r="A109" s="22"/>
      <c r="B109" s="61" t="s">
        <v>55</v>
      </c>
      <c r="C109" s="42" t="s">
        <v>34</v>
      </c>
      <c r="D109" s="42" t="s">
        <v>149</v>
      </c>
      <c r="E109" s="43" t="s">
        <v>164</v>
      </c>
      <c r="F109" s="42" t="s">
        <v>32</v>
      </c>
      <c r="G109" s="47">
        <v>60</v>
      </c>
      <c r="H109" s="47">
        <v>60</v>
      </c>
      <c r="I109" s="48">
        <v>60</v>
      </c>
      <c r="J109" s="28">
        <f t="shared" si="17"/>
        <v>0</v>
      </c>
      <c r="K109" s="48">
        <v>60</v>
      </c>
      <c r="L109" s="34">
        <f>60</f>
        <v>60</v>
      </c>
      <c r="M109" s="34"/>
      <c r="N109" s="13">
        <f t="shared" si="16"/>
        <v>60</v>
      </c>
      <c r="O109" s="13">
        <v>60</v>
      </c>
      <c r="P109" s="13">
        <v>100</v>
      </c>
      <c r="Q109" s="13">
        <f>O109+P109</f>
        <v>160</v>
      </c>
    </row>
    <row r="110" spans="1:17" ht="63" hidden="1">
      <c r="A110" s="22"/>
      <c r="B110" s="23" t="s">
        <v>165</v>
      </c>
      <c r="C110" s="57" t="s">
        <v>34</v>
      </c>
      <c r="D110" s="57" t="s">
        <v>149</v>
      </c>
      <c r="E110" s="58" t="s">
        <v>46</v>
      </c>
      <c r="F110" s="42"/>
      <c r="G110" s="47">
        <f aca="true" t="shared" si="18" ref="G110:I111">G111</f>
        <v>10</v>
      </c>
      <c r="H110" s="47">
        <f t="shared" si="18"/>
        <v>10</v>
      </c>
      <c r="I110" s="48">
        <f t="shared" si="18"/>
        <v>10</v>
      </c>
      <c r="J110" s="28">
        <f t="shared" si="17"/>
        <v>0</v>
      </c>
      <c r="K110" s="48">
        <f>K111</f>
        <v>10</v>
      </c>
      <c r="L110" s="21">
        <f>L111</f>
        <v>10</v>
      </c>
      <c r="M110" s="21"/>
      <c r="N110" s="13">
        <f t="shared" si="16"/>
        <v>10</v>
      </c>
      <c r="O110" s="13"/>
      <c r="P110" s="13"/>
      <c r="Q110" s="13"/>
    </row>
    <row r="111" spans="1:17" ht="31.5" hidden="1">
      <c r="A111" s="22"/>
      <c r="B111" s="61" t="s">
        <v>166</v>
      </c>
      <c r="C111" s="42" t="s">
        <v>34</v>
      </c>
      <c r="D111" s="42" t="s">
        <v>149</v>
      </c>
      <c r="E111" s="43" t="s">
        <v>167</v>
      </c>
      <c r="F111" s="42"/>
      <c r="G111" s="47">
        <f t="shared" si="18"/>
        <v>10</v>
      </c>
      <c r="H111" s="47">
        <f t="shared" si="18"/>
        <v>10</v>
      </c>
      <c r="I111" s="48">
        <f t="shared" si="18"/>
        <v>10</v>
      </c>
      <c r="J111" s="28">
        <f t="shared" si="17"/>
        <v>0</v>
      </c>
      <c r="K111" s="48">
        <f>K112</f>
        <v>10</v>
      </c>
      <c r="L111" s="34">
        <f>L112</f>
        <v>10</v>
      </c>
      <c r="M111" s="34"/>
      <c r="N111" s="13">
        <f t="shared" si="16"/>
        <v>10</v>
      </c>
      <c r="O111" s="13"/>
      <c r="P111" s="13"/>
      <c r="Q111" s="13"/>
    </row>
    <row r="112" spans="1:17" ht="47.25" hidden="1">
      <c r="A112" s="22"/>
      <c r="B112" s="61" t="s">
        <v>55</v>
      </c>
      <c r="C112" s="42" t="s">
        <v>34</v>
      </c>
      <c r="D112" s="42" t="s">
        <v>149</v>
      </c>
      <c r="E112" s="43" t="s">
        <v>168</v>
      </c>
      <c r="F112" s="42" t="s">
        <v>32</v>
      </c>
      <c r="G112" s="47">
        <v>10</v>
      </c>
      <c r="H112" s="47">
        <v>10</v>
      </c>
      <c r="I112" s="48">
        <v>10</v>
      </c>
      <c r="J112" s="28">
        <f t="shared" si="17"/>
        <v>0</v>
      </c>
      <c r="K112" s="48">
        <v>10</v>
      </c>
      <c r="L112" s="34">
        <f>10</f>
        <v>10</v>
      </c>
      <c r="M112" s="34"/>
      <c r="N112" s="13">
        <f t="shared" si="16"/>
        <v>10</v>
      </c>
      <c r="O112" s="13"/>
      <c r="P112" s="13"/>
      <c r="Q112" s="13"/>
    </row>
    <row r="113" spans="1:17" ht="94.5" hidden="1">
      <c r="A113" s="22"/>
      <c r="B113" s="23" t="s">
        <v>61</v>
      </c>
      <c r="C113" s="57" t="s">
        <v>34</v>
      </c>
      <c r="D113" s="57" t="s">
        <v>149</v>
      </c>
      <c r="E113" s="58" t="s">
        <v>20</v>
      </c>
      <c r="F113" s="42"/>
      <c r="G113" s="44">
        <f>G115</f>
        <v>1015.8</v>
      </c>
      <c r="H113" s="44">
        <f>H115</f>
        <v>1015.8</v>
      </c>
      <c r="I113" s="48">
        <f>I115</f>
        <v>1015.8</v>
      </c>
      <c r="J113" s="28">
        <f t="shared" si="17"/>
        <v>0</v>
      </c>
      <c r="K113" s="48">
        <f>K115</f>
        <v>1015.8</v>
      </c>
      <c r="L113" s="21">
        <f>L114</f>
        <v>1078.5</v>
      </c>
      <c r="M113" s="21"/>
      <c r="N113" s="13">
        <f t="shared" si="16"/>
        <v>1078.5</v>
      </c>
      <c r="O113" s="13"/>
      <c r="P113" s="13"/>
      <c r="Q113" s="13"/>
    </row>
    <row r="114" spans="1:17" ht="31.5" hidden="1">
      <c r="A114" s="22"/>
      <c r="B114" s="49" t="s">
        <v>169</v>
      </c>
      <c r="C114" s="42" t="s">
        <v>34</v>
      </c>
      <c r="D114" s="42" t="s">
        <v>149</v>
      </c>
      <c r="E114" s="43" t="s">
        <v>63</v>
      </c>
      <c r="F114" s="42"/>
      <c r="G114" s="44">
        <f>G115</f>
        <v>1015.8</v>
      </c>
      <c r="H114" s="44">
        <f>H115</f>
        <v>1015.8</v>
      </c>
      <c r="I114" s="48">
        <f>I115</f>
        <v>1015.8</v>
      </c>
      <c r="J114" s="28">
        <f t="shared" si="17"/>
        <v>0</v>
      </c>
      <c r="K114" s="48">
        <f>K115</f>
        <v>1015.8</v>
      </c>
      <c r="L114" s="34">
        <f>L115</f>
        <v>1078.5</v>
      </c>
      <c r="M114" s="34"/>
      <c r="N114" s="13">
        <f t="shared" si="16"/>
        <v>1078.5</v>
      </c>
      <c r="O114" s="13"/>
      <c r="P114" s="13"/>
      <c r="Q114" s="13"/>
    </row>
    <row r="115" spans="1:17" ht="141.75" hidden="1">
      <c r="A115" s="22"/>
      <c r="B115" s="36" t="s">
        <v>64</v>
      </c>
      <c r="C115" s="52" t="s">
        <v>34</v>
      </c>
      <c r="D115" s="52" t="s">
        <v>149</v>
      </c>
      <c r="E115" s="53" t="s">
        <v>65</v>
      </c>
      <c r="F115" s="52" t="s">
        <v>27</v>
      </c>
      <c r="G115" s="54">
        <v>1015.8</v>
      </c>
      <c r="H115" s="54">
        <v>1015.8</v>
      </c>
      <c r="I115" s="125">
        <v>1015.8</v>
      </c>
      <c r="J115" s="28">
        <f t="shared" si="17"/>
        <v>0</v>
      </c>
      <c r="K115" s="125">
        <v>1015.8</v>
      </c>
      <c r="L115" s="34">
        <v>1078.5</v>
      </c>
      <c r="M115" s="34"/>
      <c r="N115" s="13">
        <f t="shared" si="16"/>
        <v>1078.5</v>
      </c>
      <c r="O115" s="13"/>
      <c r="P115" s="13"/>
      <c r="Q115" s="13"/>
    </row>
    <row r="116" spans="1:17" ht="47.25" hidden="1">
      <c r="A116" s="22"/>
      <c r="B116" s="23" t="s">
        <v>170</v>
      </c>
      <c r="C116" s="126" t="s">
        <v>34</v>
      </c>
      <c r="D116" s="127" t="s">
        <v>149</v>
      </c>
      <c r="E116" s="128" t="s">
        <v>171</v>
      </c>
      <c r="F116" s="127"/>
      <c r="G116" s="129" t="e">
        <f>G117</f>
        <v>#REF!</v>
      </c>
      <c r="H116" s="129" t="e">
        <f>H117</f>
        <v>#REF!</v>
      </c>
      <c r="I116" s="130" t="e">
        <f>I117</f>
        <v>#REF!</v>
      </c>
      <c r="J116" s="28" t="e">
        <f t="shared" si="17"/>
        <v>#REF!</v>
      </c>
      <c r="K116" s="130" t="e">
        <f aca="true" t="shared" si="19" ref="K116:M117">K117</f>
        <v>#REF!</v>
      </c>
      <c r="L116" s="21">
        <f t="shared" si="19"/>
        <v>3500</v>
      </c>
      <c r="M116" s="21">
        <f t="shared" si="19"/>
        <v>20</v>
      </c>
      <c r="N116" s="21">
        <f t="shared" si="16"/>
        <v>3520</v>
      </c>
      <c r="O116" s="13">
        <f>L116+M116</f>
        <v>3520</v>
      </c>
      <c r="P116" s="13">
        <v>0</v>
      </c>
      <c r="Q116" s="13">
        <f>O116+P116</f>
        <v>3520</v>
      </c>
    </row>
    <row r="117" spans="1:17" ht="39.75" customHeight="1" hidden="1">
      <c r="A117" s="22"/>
      <c r="B117" s="66" t="s">
        <v>172</v>
      </c>
      <c r="C117" s="105" t="s">
        <v>34</v>
      </c>
      <c r="D117" s="105" t="s">
        <v>149</v>
      </c>
      <c r="E117" s="131" t="s">
        <v>173</v>
      </c>
      <c r="F117" s="105"/>
      <c r="G117" s="132" t="e">
        <f>G118+#REF!</f>
        <v>#REF!</v>
      </c>
      <c r="H117" s="132" t="e">
        <f>H118+#REF!</f>
        <v>#REF!</v>
      </c>
      <c r="I117" s="63" t="e">
        <f>I118+#REF!</f>
        <v>#REF!</v>
      </c>
      <c r="J117" s="28" t="e">
        <f t="shared" si="17"/>
        <v>#REF!</v>
      </c>
      <c r="K117" s="63" t="e">
        <f t="shared" si="19"/>
        <v>#REF!</v>
      </c>
      <c r="L117" s="34">
        <f t="shared" si="19"/>
        <v>3500</v>
      </c>
      <c r="M117" s="34">
        <f t="shared" si="19"/>
        <v>20</v>
      </c>
      <c r="N117" s="21">
        <f t="shared" si="16"/>
        <v>3520</v>
      </c>
      <c r="O117" s="13">
        <f>L117+M117</f>
        <v>3520</v>
      </c>
      <c r="P117" s="13">
        <v>0</v>
      </c>
      <c r="Q117" s="13">
        <f>O117+P117</f>
        <v>3520</v>
      </c>
    </row>
    <row r="118" spans="1:17" ht="37.5" customHeight="1" hidden="1">
      <c r="A118" s="22"/>
      <c r="B118" s="49" t="s">
        <v>174</v>
      </c>
      <c r="C118" s="105" t="s">
        <v>34</v>
      </c>
      <c r="D118" s="105" t="s">
        <v>149</v>
      </c>
      <c r="E118" s="131" t="s">
        <v>175</v>
      </c>
      <c r="F118" s="105"/>
      <c r="G118" s="132">
        <f>504</f>
        <v>504</v>
      </c>
      <c r="H118" s="132">
        <f>H119</f>
        <v>504</v>
      </c>
      <c r="I118" s="63">
        <f>I119</f>
        <v>504</v>
      </c>
      <c r="J118" s="28">
        <f t="shared" si="17"/>
        <v>0</v>
      </c>
      <c r="K118" s="63" t="e">
        <f>K119+#REF!</f>
        <v>#REF!</v>
      </c>
      <c r="L118" s="34">
        <f>L119</f>
        <v>3500</v>
      </c>
      <c r="M118" s="34">
        <f>M119+M121</f>
        <v>20</v>
      </c>
      <c r="N118" s="21">
        <f t="shared" si="16"/>
        <v>3520</v>
      </c>
      <c r="O118" s="13">
        <f>L118+M118</f>
        <v>3520</v>
      </c>
      <c r="P118" s="13">
        <v>0</v>
      </c>
      <c r="Q118" s="13">
        <f>O118+P118</f>
        <v>3520</v>
      </c>
    </row>
    <row r="119" spans="1:17" ht="58.5" customHeight="1" hidden="1">
      <c r="A119" s="22"/>
      <c r="B119" s="49" t="s">
        <v>176</v>
      </c>
      <c r="C119" s="105" t="s">
        <v>34</v>
      </c>
      <c r="D119" s="105" t="s">
        <v>149</v>
      </c>
      <c r="E119" s="133" t="s">
        <v>177</v>
      </c>
      <c r="F119" s="105" t="s">
        <v>32</v>
      </c>
      <c r="G119" s="132">
        <v>504</v>
      </c>
      <c r="H119" s="132">
        <v>504</v>
      </c>
      <c r="I119" s="63">
        <v>504</v>
      </c>
      <c r="J119" s="28">
        <f t="shared" si="17"/>
        <v>0</v>
      </c>
      <c r="K119" s="63">
        <v>504</v>
      </c>
      <c r="L119" s="34">
        <v>3500</v>
      </c>
      <c r="M119" s="34">
        <v>0</v>
      </c>
      <c r="N119" s="21">
        <f t="shared" si="16"/>
        <v>3500</v>
      </c>
      <c r="O119" s="21"/>
      <c r="P119" s="21"/>
      <c r="Q119" s="21"/>
    </row>
    <row r="120" spans="1:17" ht="24.75" customHeight="1" hidden="1">
      <c r="A120" s="22"/>
      <c r="B120" s="134" t="s">
        <v>178</v>
      </c>
      <c r="C120" s="105" t="s">
        <v>34</v>
      </c>
      <c r="D120" s="105" t="s">
        <v>149</v>
      </c>
      <c r="E120" s="133" t="s">
        <v>177</v>
      </c>
      <c r="F120" s="105" t="s">
        <v>32</v>
      </c>
      <c r="G120" s="132"/>
      <c r="H120" s="132"/>
      <c r="I120" s="63"/>
      <c r="J120" s="28"/>
      <c r="K120" s="63">
        <f>840</f>
        <v>840</v>
      </c>
      <c r="L120" s="34">
        <v>665</v>
      </c>
      <c r="M120" s="34">
        <v>0</v>
      </c>
      <c r="N120" s="21">
        <f t="shared" si="16"/>
        <v>665</v>
      </c>
      <c r="O120" s="21"/>
      <c r="P120" s="21"/>
      <c r="Q120" s="21"/>
    </row>
    <row r="121" spans="1:17" ht="63.75" customHeight="1" hidden="1">
      <c r="A121" s="22"/>
      <c r="B121" s="49" t="s">
        <v>179</v>
      </c>
      <c r="C121" s="135" t="s">
        <v>34</v>
      </c>
      <c r="D121" s="135" t="s">
        <v>149</v>
      </c>
      <c r="E121" s="133" t="s">
        <v>180</v>
      </c>
      <c r="F121" s="105" t="s">
        <v>32</v>
      </c>
      <c r="G121" s="132"/>
      <c r="H121" s="132"/>
      <c r="I121" s="63"/>
      <c r="J121" s="28"/>
      <c r="K121" s="63"/>
      <c r="L121" s="34">
        <v>0</v>
      </c>
      <c r="M121" s="34">
        <v>20</v>
      </c>
      <c r="N121" s="21">
        <f t="shared" si="16"/>
        <v>20</v>
      </c>
      <c r="O121" s="13">
        <f aca="true" t="shared" si="20" ref="O121:O134">L121+M121</f>
        <v>20</v>
      </c>
      <c r="P121" s="13">
        <v>0</v>
      </c>
      <c r="Q121" s="13">
        <f aca="true" t="shared" si="21" ref="Q121:Q134">O121+P121</f>
        <v>20</v>
      </c>
    </row>
    <row r="122" spans="1:17" ht="15.75">
      <c r="A122" s="22"/>
      <c r="B122" s="23" t="s">
        <v>181</v>
      </c>
      <c r="C122" s="57" t="s">
        <v>110</v>
      </c>
      <c r="D122" s="57"/>
      <c r="E122" s="43"/>
      <c r="F122" s="42"/>
      <c r="G122" s="59" t="e">
        <f>G123+#REF!+#REF!+G142</f>
        <v>#REF!</v>
      </c>
      <c r="H122" s="59" t="e">
        <f>H123+#REF!+#REF!+H142</f>
        <v>#REF!</v>
      </c>
      <c r="I122" s="65" t="e">
        <f>I123+#REF!+#REF!+I142</f>
        <v>#REF!</v>
      </c>
      <c r="J122" s="20" t="e">
        <f>I122-H122+8</f>
        <v>#REF!</v>
      </c>
      <c r="K122" s="65" t="e">
        <f>K123+#REF!+#REF!+K142</f>
        <v>#REF!</v>
      </c>
      <c r="L122" s="21" t="e">
        <f>L123+L142+#REF!+#REF!</f>
        <v>#REF!</v>
      </c>
      <c r="M122" s="13" t="e">
        <f>M123+M142+#REF!+#REF!</f>
        <v>#REF!</v>
      </c>
      <c r="N122" s="13" t="e">
        <f t="shared" si="16"/>
        <v>#REF!</v>
      </c>
      <c r="O122" s="13" t="e">
        <f t="shared" si="20"/>
        <v>#REF!</v>
      </c>
      <c r="P122" s="13">
        <f>P123+P142+P150</f>
        <v>80514.21281999999</v>
      </c>
      <c r="Q122" s="13" t="e">
        <f t="shared" si="21"/>
        <v>#REF!</v>
      </c>
    </row>
    <row r="123" spans="1:17" ht="19.5" customHeight="1">
      <c r="A123" s="22"/>
      <c r="B123" s="23" t="s">
        <v>182</v>
      </c>
      <c r="C123" s="57" t="s">
        <v>110</v>
      </c>
      <c r="D123" s="57" t="s">
        <v>18</v>
      </c>
      <c r="E123" s="58"/>
      <c r="F123" s="57"/>
      <c r="G123" s="136" t="e">
        <f>G139+G124</f>
        <v>#REF!</v>
      </c>
      <c r="H123" s="136" t="e">
        <f>H139+H124</f>
        <v>#REF!</v>
      </c>
      <c r="I123" s="65" t="e">
        <f>I139+I124</f>
        <v>#REF!</v>
      </c>
      <c r="J123" s="20" t="e">
        <f>I123-H123</f>
        <v>#REF!</v>
      </c>
      <c r="K123" s="65" t="e">
        <f>K139+K124+#REF!</f>
        <v>#REF!</v>
      </c>
      <c r="L123" s="21">
        <f>L124+L139</f>
        <v>65160.100000000006</v>
      </c>
      <c r="M123" s="165">
        <f>M124+M139</f>
        <v>266.20000000000005</v>
      </c>
      <c r="N123" s="21">
        <f t="shared" si="16"/>
        <v>65426.3</v>
      </c>
      <c r="O123" s="13">
        <f t="shared" si="20"/>
        <v>65426.3</v>
      </c>
      <c r="P123" s="13">
        <f>P124+P139</f>
        <v>79823.43082</v>
      </c>
      <c r="Q123" s="13">
        <f t="shared" si="21"/>
        <v>145249.73082</v>
      </c>
    </row>
    <row r="124" spans="1:17" ht="84" customHeight="1">
      <c r="A124" s="22"/>
      <c r="B124" s="23" t="s">
        <v>183</v>
      </c>
      <c r="C124" s="127" t="s">
        <v>110</v>
      </c>
      <c r="D124" s="127" t="s">
        <v>18</v>
      </c>
      <c r="E124" s="128" t="s">
        <v>149</v>
      </c>
      <c r="F124" s="42"/>
      <c r="G124" s="47" t="e">
        <f>G136</f>
        <v>#REF!</v>
      </c>
      <c r="H124" s="47" t="e">
        <f>H136</f>
        <v>#REF!</v>
      </c>
      <c r="I124" s="48" t="e">
        <f>I136</f>
        <v>#REF!</v>
      </c>
      <c r="J124" s="28" t="e">
        <f>I124-H124</f>
        <v>#REF!</v>
      </c>
      <c r="K124" s="120" t="e">
        <f>K136+#REF!+#REF!+#REF!+#REF!+#REF!</f>
        <v>#REF!</v>
      </c>
      <c r="L124" s="21">
        <f>L125+L135</f>
        <v>64323.100000000006</v>
      </c>
      <c r="M124" s="21">
        <f>M125</f>
        <v>199.8</v>
      </c>
      <c r="N124" s="21">
        <f t="shared" si="16"/>
        <v>64522.90000000001</v>
      </c>
      <c r="O124" s="13">
        <f t="shared" si="20"/>
        <v>64522.90000000001</v>
      </c>
      <c r="P124" s="13">
        <f>P125+P135</f>
        <v>79823.43082</v>
      </c>
      <c r="Q124" s="13">
        <f t="shared" si="21"/>
        <v>144346.33082</v>
      </c>
    </row>
    <row r="125" spans="1:17" ht="66.75" customHeight="1">
      <c r="A125" s="22"/>
      <c r="B125" s="144" t="s">
        <v>184</v>
      </c>
      <c r="C125" s="105" t="s">
        <v>110</v>
      </c>
      <c r="D125" s="105" t="s">
        <v>18</v>
      </c>
      <c r="E125" s="131" t="s">
        <v>185</v>
      </c>
      <c r="F125" s="105"/>
      <c r="G125" s="132"/>
      <c r="H125" s="132"/>
      <c r="I125" s="63"/>
      <c r="J125" s="28"/>
      <c r="K125" s="81"/>
      <c r="L125" s="34">
        <f>L127+L130+L132</f>
        <v>38788.50000000001</v>
      </c>
      <c r="M125" s="34">
        <f>M126+M133</f>
        <v>199.8</v>
      </c>
      <c r="N125" s="21">
        <f t="shared" si="16"/>
        <v>38988.30000000001</v>
      </c>
      <c r="O125" s="13">
        <f t="shared" si="20"/>
        <v>38988.30000000001</v>
      </c>
      <c r="P125" s="13">
        <f>P127+P130+P132</f>
        <v>79823.43082</v>
      </c>
      <c r="Q125" s="13">
        <f t="shared" si="21"/>
        <v>118811.73082</v>
      </c>
    </row>
    <row r="126" spans="1:17" ht="87" customHeight="1">
      <c r="A126" s="22"/>
      <c r="B126" s="162" t="s">
        <v>186</v>
      </c>
      <c r="C126" s="161" t="s">
        <v>110</v>
      </c>
      <c r="D126" s="105" t="s">
        <v>18</v>
      </c>
      <c r="E126" s="131" t="s">
        <v>187</v>
      </c>
      <c r="F126" s="105"/>
      <c r="G126" s="132"/>
      <c r="H126" s="132"/>
      <c r="I126" s="63"/>
      <c r="J126" s="28"/>
      <c r="K126" s="81"/>
      <c r="L126" s="34">
        <f>L127+L130+L132</f>
        <v>38788.50000000001</v>
      </c>
      <c r="M126" s="34">
        <f>M127+M129+M131</f>
        <v>0</v>
      </c>
      <c r="N126" s="13">
        <f t="shared" si="16"/>
        <v>38788.50000000001</v>
      </c>
      <c r="O126" s="13">
        <f t="shared" si="20"/>
        <v>38788.50000000001</v>
      </c>
      <c r="P126" s="13">
        <f>P127+P130+P132</f>
        <v>79823.43082</v>
      </c>
      <c r="Q126" s="13">
        <f t="shared" si="21"/>
        <v>118611.93082000001</v>
      </c>
    </row>
    <row r="127" spans="1:17" ht="134.25" customHeight="1">
      <c r="A127" s="22"/>
      <c r="B127" s="152" t="s">
        <v>188</v>
      </c>
      <c r="C127" s="105" t="s">
        <v>110</v>
      </c>
      <c r="D127" s="105" t="s">
        <v>18</v>
      </c>
      <c r="E127" s="131" t="s">
        <v>189</v>
      </c>
      <c r="F127" s="105" t="s">
        <v>190</v>
      </c>
      <c r="G127" s="132"/>
      <c r="H127" s="132"/>
      <c r="I127" s="63"/>
      <c r="J127" s="28"/>
      <c r="K127" s="81">
        <f>45527.7631</f>
        <v>45527.7631</v>
      </c>
      <c r="L127" s="34">
        <v>38012.8</v>
      </c>
      <c r="M127" s="34">
        <v>0</v>
      </c>
      <c r="N127" s="13">
        <f t="shared" si="16"/>
        <v>38012.8</v>
      </c>
      <c r="O127" s="13">
        <f t="shared" si="20"/>
        <v>38012.8</v>
      </c>
      <c r="P127" s="13">
        <f>62592.6+15634.27122</f>
        <v>78226.87122</v>
      </c>
      <c r="Q127" s="13">
        <f t="shared" si="21"/>
        <v>116239.67122</v>
      </c>
    </row>
    <row r="128" spans="1:17" ht="37.5" customHeight="1">
      <c r="A128" s="22"/>
      <c r="B128" s="166" t="s">
        <v>191</v>
      </c>
      <c r="C128" s="105" t="s">
        <v>110</v>
      </c>
      <c r="D128" s="105" t="s">
        <v>18</v>
      </c>
      <c r="E128" s="131" t="s">
        <v>189</v>
      </c>
      <c r="F128" s="105" t="s">
        <v>190</v>
      </c>
      <c r="G128" s="132"/>
      <c r="H128" s="132"/>
      <c r="I128" s="63"/>
      <c r="J128" s="28"/>
      <c r="K128" s="81">
        <f>45527.7631</f>
        <v>45527.7631</v>
      </c>
      <c r="L128" s="34">
        <v>38012.8</v>
      </c>
      <c r="M128" s="34">
        <v>0</v>
      </c>
      <c r="N128" s="13">
        <f t="shared" si="16"/>
        <v>38012.8</v>
      </c>
      <c r="O128" s="13">
        <f t="shared" si="20"/>
        <v>38012.8</v>
      </c>
      <c r="P128" s="13">
        <f>62592.6+15634.27122</f>
        <v>78226.87122</v>
      </c>
      <c r="Q128" s="13">
        <f t="shared" si="21"/>
        <v>116239.67122</v>
      </c>
    </row>
    <row r="129" spans="1:17" ht="68.25" customHeight="1">
      <c r="A129" s="22"/>
      <c r="B129" s="61" t="s">
        <v>192</v>
      </c>
      <c r="C129" s="105" t="s">
        <v>110</v>
      </c>
      <c r="D129" s="105" t="s">
        <v>18</v>
      </c>
      <c r="E129" s="131" t="s">
        <v>193</v>
      </c>
      <c r="F129" s="105" t="s">
        <v>190</v>
      </c>
      <c r="G129" s="132"/>
      <c r="H129" s="132"/>
      <c r="I129" s="63"/>
      <c r="J129" s="28"/>
      <c r="K129" s="81">
        <v>696.85352</v>
      </c>
      <c r="L129" s="34">
        <v>581.8</v>
      </c>
      <c r="M129" s="34">
        <v>0</v>
      </c>
      <c r="N129" s="13">
        <f t="shared" si="16"/>
        <v>581.8</v>
      </c>
      <c r="O129" s="13">
        <f t="shared" si="20"/>
        <v>581.8</v>
      </c>
      <c r="P129" s="13">
        <f>958.1+239.30009</f>
        <v>1197.40009</v>
      </c>
      <c r="Q129" s="13">
        <f t="shared" si="21"/>
        <v>1779.20009</v>
      </c>
    </row>
    <row r="130" spans="1:17" ht="31.5">
      <c r="A130" s="22"/>
      <c r="B130" s="166" t="s">
        <v>194</v>
      </c>
      <c r="C130" s="105" t="s">
        <v>110</v>
      </c>
      <c r="D130" s="105" t="s">
        <v>18</v>
      </c>
      <c r="E130" s="131" t="s">
        <v>193</v>
      </c>
      <c r="F130" s="105" t="s">
        <v>190</v>
      </c>
      <c r="G130" s="132"/>
      <c r="H130" s="132"/>
      <c r="I130" s="63"/>
      <c r="J130" s="28"/>
      <c r="K130" s="81">
        <v>696.85352</v>
      </c>
      <c r="L130" s="34">
        <v>581.8</v>
      </c>
      <c r="M130" s="34">
        <v>0</v>
      </c>
      <c r="N130" s="13">
        <f t="shared" si="16"/>
        <v>581.8</v>
      </c>
      <c r="O130" s="13">
        <f t="shared" si="20"/>
        <v>581.8</v>
      </c>
      <c r="P130" s="13">
        <f>958.1+239.30009</f>
        <v>1197.40009</v>
      </c>
      <c r="Q130" s="13">
        <f t="shared" si="21"/>
        <v>1779.20009</v>
      </c>
    </row>
    <row r="131" spans="1:17" ht="63" customHeight="1">
      <c r="A131" s="22"/>
      <c r="B131" s="61" t="s">
        <v>195</v>
      </c>
      <c r="C131" s="105" t="s">
        <v>110</v>
      </c>
      <c r="D131" s="105" t="s">
        <v>18</v>
      </c>
      <c r="E131" s="131" t="s">
        <v>196</v>
      </c>
      <c r="F131" s="105" t="s">
        <v>190</v>
      </c>
      <c r="G131" s="132"/>
      <c r="H131" s="132"/>
      <c r="I131" s="63"/>
      <c r="J131" s="28"/>
      <c r="K131" s="81">
        <v>232.2845</v>
      </c>
      <c r="L131" s="34">
        <v>193.9</v>
      </c>
      <c r="M131" s="34">
        <v>0</v>
      </c>
      <c r="N131" s="21">
        <f t="shared" si="16"/>
        <v>193.9</v>
      </c>
      <c r="O131" s="13">
        <f t="shared" si="20"/>
        <v>193.9</v>
      </c>
      <c r="P131" s="13">
        <v>399.15951</v>
      </c>
      <c r="Q131" s="13">
        <f t="shared" si="21"/>
        <v>593.05951</v>
      </c>
    </row>
    <row r="132" spans="1:17" ht="34.5" customHeight="1">
      <c r="A132" s="22"/>
      <c r="B132" s="166" t="s">
        <v>178</v>
      </c>
      <c r="C132" s="105" t="s">
        <v>110</v>
      </c>
      <c r="D132" s="105" t="s">
        <v>18</v>
      </c>
      <c r="E132" s="131" t="s">
        <v>196</v>
      </c>
      <c r="F132" s="105" t="s">
        <v>190</v>
      </c>
      <c r="G132" s="132"/>
      <c r="H132" s="132"/>
      <c r="I132" s="63"/>
      <c r="J132" s="28"/>
      <c r="K132" s="81">
        <v>232.2845</v>
      </c>
      <c r="L132" s="34">
        <v>193.9</v>
      </c>
      <c r="M132" s="34">
        <v>0</v>
      </c>
      <c r="N132" s="21">
        <f t="shared" si="16"/>
        <v>193.9</v>
      </c>
      <c r="O132" s="13">
        <f t="shared" si="20"/>
        <v>193.9</v>
      </c>
      <c r="P132" s="13">
        <v>399.15951</v>
      </c>
      <c r="Q132" s="13">
        <f t="shared" si="21"/>
        <v>593.05951</v>
      </c>
    </row>
    <row r="133" spans="1:17" ht="45.75" customHeight="1" hidden="1">
      <c r="A133" s="22"/>
      <c r="B133" s="138" t="s">
        <v>197</v>
      </c>
      <c r="C133" s="105" t="s">
        <v>110</v>
      </c>
      <c r="D133" s="105" t="s">
        <v>18</v>
      </c>
      <c r="E133" s="133" t="s">
        <v>198</v>
      </c>
      <c r="F133" s="105"/>
      <c r="G133" s="132"/>
      <c r="H133" s="132"/>
      <c r="I133" s="63"/>
      <c r="J133" s="28"/>
      <c r="K133" s="81"/>
      <c r="L133" s="34">
        <v>0</v>
      </c>
      <c r="M133" s="34">
        <f>M134</f>
        <v>199.8</v>
      </c>
      <c r="N133" s="21">
        <f t="shared" si="16"/>
        <v>199.8</v>
      </c>
      <c r="O133" s="13">
        <f t="shared" si="20"/>
        <v>199.8</v>
      </c>
      <c r="P133" s="13">
        <v>0</v>
      </c>
      <c r="Q133" s="13">
        <f t="shared" si="21"/>
        <v>199.8</v>
      </c>
    </row>
    <row r="134" spans="1:17" ht="78.75" hidden="1">
      <c r="A134" s="22"/>
      <c r="B134" s="138" t="s">
        <v>199</v>
      </c>
      <c r="C134" s="105" t="s">
        <v>110</v>
      </c>
      <c r="D134" s="105" t="s">
        <v>18</v>
      </c>
      <c r="E134" s="133" t="s">
        <v>200</v>
      </c>
      <c r="F134" s="105" t="s">
        <v>32</v>
      </c>
      <c r="G134" s="132"/>
      <c r="H134" s="132"/>
      <c r="I134" s="63"/>
      <c r="J134" s="28"/>
      <c r="K134" s="81"/>
      <c r="L134" s="34">
        <v>0</v>
      </c>
      <c r="M134" s="34">
        <v>199.8</v>
      </c>
      <c r="N134" s="21">
        <f t="shared" si="16"/>
        <v>199.8</v>
      </c>
      <c r="O134" s="13">
        <f t="shared" si="20"/>
        <v>199.8</v>
      </c>
      <c r="P134" s="13">
        <v>0</v>
      </c>
      <c r="Q134" s="13">
        <f t="shared" si="21"/>
        <v>199.8</v>
      </c>
    </row>
    <row r="135" spans="1:17" ht="63.75" customHeight="1" hidden="1">
      <c r="A135" s="22"/>
      <c r="B135" s="23" t="s">
        <v>201</v>
      </c>
      <c r="C135" s="127" t="s">
        <v>110</v>
      </c>
      <c r="D135" s="127" t="s">
        <v>18</v>
      </c>
      <c r="E135" s="128" t="s">
        <v>202</v>
      </c>
      <c r="F135" s="42"/>
      <c r="G135" s="47"/>
      <c r="H135" s="47"/>
      <c r="I135" s="48"/>
      <c r="J135" s="28"/>
      <c r="K135" s="120"/>
      <c r="L135" s="21">
        <f>L136</f>
        <v>25534.6</v>
      </c>
      <c r="M135" s="21"/>
      <c r="N135" s="13">
        <f t="shared" si="16"/>
        <v>25534.6</v>
      </c>
      <c r="O135" s="13"/>
      <c r="P135" s="13"/>
      <c r="Q135" s="13"/>
    </row>
    <row r="136" spans="1:17" ht="47.25" hidden="1">
      <c r="A136" s="22"/>
      <c r="B136" s="61" t="s">
        <v>203</v>
      </c>
      <c r="C136" s="105" t="s">
        <v>110</v>
      </c>
      <c r="D136" s="105" t="s">
        <v>18</v>
      </c>
      <c r="E136" s="131" t="s">
        <v>204</v>
      </c>
      <c r="F136" s="42"/>
      <c r="G136" s="47" t="e">
        <f>#REF!</f>
        <v>#REF!</v>
      </c>
      <c r="H136" s="47" t="e">
        <f>#REF!</f>
        <v>#REF!</v>
      </c>
      <c r="I136" s="48" t="e">
        <f>#REF!</f>
        <v>#REF!</v>
      </c>
      <c r="J136" s="28" t="e">
        <f>I136-H136</f>
        <v>#REF!</v>
      </c>
      <c r="K136" s="120" t="e">
        <f>#REF!+#REF!+K137+K138</f>
        <v>#REF!</v>
      </c>
      <c r="L136" s="34">
        <f>L137+L138</f>
        <v>25534.6</v>
      </c>
      <c r="M136" s="34"/>
      <c r="N136" s="13">
        <f t="shared" si="16"/>
        <v>25534.6</v>
      </c>
      <c r="O136" s="13"/>
      <c r="P136" s="13"/>
      <c r="Q136" s="13"/>
    </row>
    <row r="137" spans="1:17" ht="63.75" customHeight="1" hidden="1">
      <c r="A137" s="22"/>
      <c r="B137" s="104" t="s">
        <v>205</v>
      </c>
      <c r="C137" s="105" t="s">
        <v>110</v>
      </c>
      <c r="D137" s="105" t="s">
        <v>18</v>
      </c>
      <c r="E137" s="131" t="s">
        <v>206</v>
      </c>
      <c r="F137" s="105" t="s">
        <v>190</v>
      </c>
      <c r="G137" s="132"/>
      <c r="H137" s="132"/>
      <c r="I137" s="63"/>
      <c r="J137" s="28"/>
      <c r="K137" s="81">
        <f>5995.62194</f>
        <v>5995.62194</v>
      </c>
      <c r="L137" s="34">
        <v>20683</v>
      </c>
      <c r="M137" s="34"/>
      <c r="N137" s="13">
        <f t="shared" si="16"/>
        <v>20683</v>
      </c>
      <c r="O137" s="13"/>
      <c r="P137" s="13"/>
      <c r="Q137" s="13"/>
    </row>
    <row r="138" spans="1:17" ht="63.75" customHeight="1" hidden="1">
      <c r="A138" s="22"/>
      <c r="B138" s="104" t="s">
        <v>207</v>
      </c>
      <c r="C138" s="105" t="s">
        <v>110</v>
      </c>
      <c r="D138" s="105" t="s">
        <v>18</v>
      </c>
      <c r="E138" s="131" t="s">
        <v>208</v>
      </c>
      <c r="F138" s="105" t="s">
        <v>190</v>
      </c>
      <c r="G138" s="132"/>
      <c r="H138" s="132"/>
      <c r="I138" s="63"/>
      <c r="J138" s="28"/>
      <c r="K138" s="81">
        <f>315.55905</f>
        <v>315.55905</v>
      </c>
      <c r="L138" s="34">
        <v>4851.6</v>
      </c>
      <c r="M138" s="34"/>
      <c r="N138" s="13">
        <f t="shared" si="16"/>
        <v>4851.6</v>
      </c>
      <c r="O138" s="13"/>
      <c r="P138" s="13"/>
      <c r="Q138" s="13"/>
    </row>
    <row r="139" spans="1:17" ht="36" customHeight="1" hidden="1">
      <c r="A139" s="22"/>
      <c r="B139" s="23" t="s">
        <v>209</v>
      </c>
      <c r="C139" s="57" t="s">
        <v>110</v>
      </c>
      <c r="D139" s="57" t="s">
        <v>18</v>
      </c>
      <c r="E139" s="58" t="s">
        <v>51</v>
      </c>
      <c r="F139" s="57"/>
      <c r="G139" s="64" t="e">
        <f>G140+#REF!</f>
        <v>#REF!</v>
      </c>
      <c r="H139" s="64" t="e">
        <f>H140+#REF!</f>
        <v>#REF!</v>
      </c>
      <c r="I139" s="65" t="e">
        <f>I140+#REF!</f>
        <v>#REF!</v>
      </c>
      <c r="J139" s="20" t="e">
        <f aca="true" t="shared" si="22" ref="J139:J147">I139-H139</f>
        <v>#REF!</v>
      </c>
      <c r="K139" s="65" t="e">
        <f>K140+#REF!</f>
        <v>#REF!</v>
      </c>
      <c r="L139" s="21">
        <f>L140</f>
        <v>837</v>
      </c>
      <c r="M139" s="21">
        <f>M140</f>
        <v>66.4</v>
      </c>
      <c r="N139" s="21">
        <f t="shared" si="16"/>
        <v>903.4</v>
      </c>
      <c r="O139" s="13">
        <f>L139+M139</f>
        <v>903.4</v>
      </c>
      <c r="P139" s="13">
        <v>0</v>
      </c>
      <c r="Q139" s="13">
        <f aca="true" t="shared" si="23" ref="Q139:Q146">O139+P139</f>
        <v>903.4</v>
      </c>
    </row>
    <row r="140" spans="1:17" ht="33.75" customHeight="1" hidden="1">
      <c r="A140" s="22"/>
      <c r="B140" s="91" t="s">
        <v>210</v>
      </c>
      <c r="C140" s="42" t="s">
        <v>110</v>
      </c>
      <c r="D140" s="42" t="s">
        <v>18</v>
      </c>
      <c r="E140" s="43" t="s">
        <v>211</v>
      </c>
      <c r="F140" s="42"/>
      <c r="G140" s="47">
        <f>G141</f>
        <v>907</v>
      </c>
      <c r="H140" s="47">
        <f>H141</f>
        <v>907</v>
      </c>
      <c r="I140" s="120">
        <f>I141</f>
        <v>907</v>
      </c>
      <c r="J140" s="20">
        <f t="shared" si="22"/>
        <v>0</v>
      </c>
      <c r="K140" s="120">
        <f>K141</f>
        <v>907</v>
      </c>
      <c r="L140" s="34">
        <f>L141</f>
        <v>837</v>
      </c>
      <c r="M140" s="34">
        <f>M141</f>
        <v>66.4</v>
      </c>
      <c r="N140" s="21">
        <f t="shared" si="16"/>
        <v>903.4</v>
      </c>
      <c r="O140" s="13">
        <f>L140+M140</f>
        <v>903.4</v>
      </c>
      <c r="P140" s="13">
        <v>0</v>
      </c>
      <c r="Q140" s="13">
        <f t="shared" si="23"/>
        <v>903.4</v>
      </c>
    </row>
    <row r="141" spans="1:17" ht="49.5" customHeight="1" hidden="1">
      <c r="A141" s="22"/>
      <c r="B141" s="104" t="s">
        <v>212</v>
      </c>
      <c r="C141" s="42" t="s">
        <v>110</v>
      </c>
      <c r="D141" s="42" t="s">
        <v>18</v>
      </c>
      <c r="E141" s="43" t="s">
        <v>213</v>
      </c>
      <c r="F141" s="42" t="s">
        <v>32</v>
      </c>
      <c r="G141" s="132">
        <v>907</v>
      </c>
      <c r="H141" s="132">
        <v>907</v>
      </c>
      <c r="I141" s="81">
        <f>907-338.54293+338.54293</f>
        <v>907</v>
      </c>
      <c r="J141" s="20">
        <f t="shared" si="22"/>
        <v>0</v>
      </c>
      <c r="K141" s="81">
        <f>907-338.54293+338.54293</f>
        <v>907</v>
      </c>
      <c r="L141" s="34">
        <v>837</v>
      </c>
      <c r="M141" s="34">
        <v>66.4</v>
      </c>
      <c r="N141" s="21">
        <f t="shared" si="16"/>
        <v>903.4</v>
      </c>
      <c r="O141" s="13">
        <f>L141+M141</f>
        <v>903.4</v>
      </c>
      <c r="P141" s="13">
        <v>0</v>
      </c>
      <c r="Q141" s="13">
        <f t="shared" si="23"/>
        <v>903.4</v>
      </c>
    </row>
    <row r="142" spans="1:17" ht="18" customHeight="1">
      <c r="A142" s="22"/>
      <c r="B142" s="139" t="s">
        <v>214</v>
      </c>
      <c r="C142" s="57" t="s">
        <v>110</v>
      </c>
      <c r="D142" s="57" t="s">
        <v>20</v>
      </c>
      <c r="E142" s="128"/>
      <c r="F142" s="57"/>
      <c r="G142" s="64" t="e">
        <f>G143</f>
        <v>#REF!</v>
      </c>
      <c r="H142" s="64" t="e">
        <f>H143</f>
        <v>#REF!</v>
      </c>
      <c r="I142" s="60" t="e">
        <f>I143</f>
        <v>#REF!</v>
      </c>
      <c r="J142" s="28" t="e">
        <f t="shared" si="22"/>
        <v>#REF!</v>
      </c>
      <c r="K142" s="60" t="e">
        <f>K143</f>
        <v>#REF!</v>
      </c>
      <c r="L142" s="21">
        <f>L143</f>
        <v>42368.79</v>
      </c>
      <c r="M142" s="21" t="e">
        <f>M143+#REF!</f>
        <v>#REF!</v>
      </c>
      <c r="N142" s="107" t="e">
        <f t="shared" si="16"/>
        <v>#REF!</v>
      </c>
      <c r="O142" s="13" t="e">
        <f>L142+M142</f>
        <v>#REF!</v>
      </c>
      <c r="P142" s="13">
        <f>P143</f>
        <v>-820.58642</v>
      </c>
      <c r="Q142" s="13" t="e">
        <f t="shared" si="23"/>
        <v>#REF!</v>
      </c>
    </row>
    <row r="143" spans="1:17" ht="87" customHeight="1">
      <c r="A143" s="22"/>
      <c r="B143" s="140" t="s">
        <v>215</v>
      </c>
      <c r="C143" s="57" t="s">
        <v>110</v>
      </c>
      <c r="D143" s="57" t="s">
        <v>20</v>
      </c>
      <c r="E143" s="141" t="s">
        <v>216</v>
      </c>
      <c r="F143" s="57"/>
      <c r="G143" s="64" t="e">
        <f>#REF!</f>
        <v>#REF!</v>
      </c>
      <c r="H143" s="64" t="e">
        <f>#REF!</f>
        <v>#REF!</v>
      </c>
      <c r="I143" s="60" t="e">
        <f>#REF!</f>
        <v>#REF!</v>
      </c>
      <c r="J143" s="28" t="e">
        <f t="shared" si="22"/>
        <v>#REF!</v>
      </c>
      <c r="K143" s="60" t="e">
        <f>#REF!</f>
        <v>#REF!</v>
      </c>
      <c r="L143" s="21">
        <f>L144+L147</f>
        <v>42368.79</v>
      </c>
      <c r="M143" s="21">
        <f>M147</f>
        <v>150</v>
      </c>
      <c r="N143" s="107">
        <f t="shared" si="16"/>
        <v>42518.79</v>
      </c>
      <c r="O143" s="13">
        <f>L143+M143</f>
        <v>42518.79</v>
      </c>
      <c r="P143" s="13">
        <f>P144+P147</f>
        <v>-820.58642</v>
      </c>
      <c r="Q143" s="13">
        <f t="shared" si="23"/>
        <v>41698.20358</v>
      </c>
    </row>
    <row r="144" spans="1:17" ht="46.5" customHeight="1">
      <c r="A144" s="22"/>
      <c r="B144" s="91" t="s">
        <v>217</v>
      </c>
      <c r="C144" s="105" t="s">
        <v>110</v>
      </c>
      <c r="D144" s="105" t="s">
        <v>20</v>
      </c>
      <c r="E144" s="133" t="s">
        <v>218</v>
      </c>
      <c r="F144" s="105"/>
      <c r="G144" s="132">
        <v>700</v>
      </c>
      <c r="H144" s="132">
        <v>700</v>
      </c>
      <c r="I144" s="63">
        <f>700-700</f>
        <v>0</v>
      </c>
      <c r="J144" s="28">
        <f t="shared" si="22"/>
        <v>-700</v>
      </c>
      <c r="K144" s="63">
        <f>700-700</f>
        <v>0</v>
      </c>
      <c r="L144" s="34">
        <f>L145</f>
        <v>41753.1</v>
      </c>
      <c r="M144" s="34">
        <v>0</v>
      </c>
      <c r="N144" s="13">
        <f t="shared" si="16"/>
        <v>41753.1</v>
      </c>
      <c r="O144" s="34">
        <f>O145</f>
        <v>41753.1</v>
      </c>
      <c r="P144" s="119">
        <f>P145</f>
        <v>-723.08642</v>
      </c>
      <c r="Q144" s="13">
        <f t="shared" si="23"/>
        <v>41030.01358</v>
      </c>
    </row>
    <row r="145" spans="1:17" ht="100.5" customHeight="1">
      <c r="A145" s="22"/>
      <c r="B145" s="104" t="s">
        <v>219</v>
      </c>
      <c r="C145" s="105" t="s">
        <v>110</v>
      </c>
      <c r="D145" s="105" t="s">
        <v>20</v>
      </c>
      <c r="E145" s="124" t="s">
        <v>220</v>
      </c>
      <c r="F145" s="105" t="s">
        <v>190</v>
      </c>
      <c r="G145" s="132">
        <v>0</v>
      </c>
      <c r="H145" s="132">
        <v>0</v>
      </c>
      <c r="I145" s="63">
        <f>700</f>
        <v>700</v>
      </c>
      <c r="J145" s="28">
        <f t="shared" si="22"/>
        <v>700</v>
      </c>
      <c r="K145" s="63">
        <f>700-700+700</f>
        <v>700</v>
      </c>
      <c r="L145" s="34">
        <f>33820+7933.1</f>
        <v>41753.1</v>
      </c>
      <c r="M145" s="34">
        <v>0</v>
      </c>
      <c r="N145" s="13">
        <f t="shared" si="16"/>
        <v>41753.1</v>
      </c>
      <c r="O145" s="34">
        <f>33820+7933.1</f>
        <v>41753.1</v>
      </c>
      <c r="P145" s="119">
        <v>-723.08642</v>
      </c>
      <c r="Q145" s="13">
        <f t="shared" si="23"/>
        <v>41030.01358</v>
      </c>
    </row>
    <row r="146" spans="1:17" ht="39.75" customHeight="1">
      <c r="A146" s="22"/>
      <c r="B146" s="169" t="s">
        <v>178</v>
      </c>
      <c r="C146" s="105" t="s">
        <v>110</v>
      </c>
      <c r="D146" s="105" t="s">
        <v>20</v>
      </c>
      <c r="E146" s="124" t="s">
        <v>220</v>
      </c>
      <c r="F146" s="105" t="s">
        <v>190</v>
      </c>
      <c r="G146" s="132">
        <v>800</v>
      </c>
      <c r="H146" s="132">
        <f>800+676</f>
        <v>1476</v>
      </c>
      <c r="I146" s="63">
        <f>800+676+1232</f>
        <v>2708</v>
      </c>
      <c r="J146" s="28">
        <f t="shared" si="22"/>
        <v>1232</v>
      </c>
      <c r="K146" s="63">
        <f>800+676+1232</f>
        <v>2708</v>
      </c>
      <c r="L146" s="34">
        <v>7933.1</v>
      </c>
      <c r="M146" s="34">
        <v>0</v>
      </c>
      <c r="N146" s="13">
        <f t="shared" si="16"/>
        <v>7933.1</v>
      </c>
      <c r="O146" s="34">
        <v>7933.1</v>
      </c>
      <c r="P146" s="119">
        <v>-137.38642</v>
      </c>
      <c r="Q146" s="13">
        <f t="shared" si="23"/>
        <v>7795.713580000001</v>
      </c>
    </row>
    <row r="147" spans="1:17" ht="57.75" customHeight="1">
      <c r="A147" s="22"/>
      <c r="B147" s="91" t="s">
        <v>221</v>
      </c>
      <c r="C147" s="105" t="s">
        <v>110</v>
      </c>
      <c r="D147" s="105" t="s">
        <v>20</v>
      </c>
      <c r="E147" s="133" t="s">
        <v>222</v>
      </c>
      <c r="F147" s="105"/>
      <c r="G147" s="132">
        <v>100</v>
      </c>
      <c r="H147" s="132">
        <v>100</v>
      </c>
      <c r="I147" s="63">
        <v>100</v>
      </c>
      <c r="J147" s="28">
        <f t="shared" si="22"/>
        <v>0</v>
      </c>
      <c r="K147" s="63">
        <v>100</v>
      </c>
      <c r="L147" s="34">
        <f>L148</f>
        <v>615.69</v>
      </c>
      <c r="M147" s="34">
        <f>M148</f>
        <v>150</v>
      </c>
      <c r="N147" s="107">
        <f t="shared" si="16"/>
        <v>765.69</v>
      </c>
      <c r="O147" s="13">
        <f>L147+M147</f>
        <v>765.69</v>
      </c>
      <c r="P147" s="13">
        <f>P148+P149</f>
        <v>-97.5</v>
      </c>
      <c r="Q147" s="13">
        <f>O147+P147</f>
        <v>668.19</v>
      </c>
    </row>
    <row r="148" spans="1:17" ht="102.75" customHeight="1">
      <c r="A148" s="22"/>
      <c r="B148" s="104" t="s">
        <v>223</v>
      </c>
      <c r="C148" s="105" t="s">
        <v>110</v>
      </c>
      <c r="D148" s="105" t="s">
        <v>20</v>
      </c>
      <c r="E148" s="133" t="s">
        <v>224</v>
      </c>
      <c r="F148" s="105" t="s">
        <v>190</v>
      </c>
      <c r="G148" s="132"/>
      <c r="H148" s="132"/>
      <c r="I148" s="63"/>
      <c r="J148" s="28"/>
      <c r="K148" s="63"/>
      <c r="L148" s="34">
        <v>615.69</v>
      </c>
      <c r="M148" s="34">
        <v>150</v>
      </c>
      <c r="N148" s="21">
        <f t="shared" si="16"/>
        <v>765.69</v>
      </c>
      <c r="O148" s="13">
        <f>L148+M148</f>
        <v>765.69</v>
      </c>
      <c r="P148" s="13">
        <f>-97.5-12.418</f>
        <v>-109.918</v>
      </c>
      <c r="Q148" s="13">
        <f>O148+P148</f>
        <v>655.772</v>
      </c>
    </row>
    <row r="149" spans="1:17" ht="95.25" customHeight="1">
      <c r="A149" s="22"/>
      <c r="B149" s="104" t="s">
        <v>319</v>
      </c>
      <c r="C149" s="105" t="s">
        <v>110</v>
      </c>
      <c r="D149" s="105" t="s">
        <v>20</v>
      </c>
      <c r="E149" s="133" t="s">
        <v>224</v>
      </c>
      <c r="F149" s="42" t="s">
        <v>32</v>
      </c>
      <c r="G149" s="47"/>
      <c r="H149" s="47"/>
      <c r="I149" s="48"/>
      <c r="J149" s="28"/>
      <c r="K149" s="48"/>
      <c r="L149" s="34"/>
      <c r="M149" s="34"/>
      <c r="N149" s="13"/>
      <c r="O149" s="34"/>
      <c r="P149" s="13">
        <v>12.418</v>
      </c>
      <c r="Q149" s="13">
        <f>O149+P149</f>
        <v>12.418</v>
      </c>
    </row>
    <row r="150" spans="1:17" ht="31.5" customHeight="1">
      <c r="A150" s="22"/>
      <c r="B150" s="106" t="s">
        <v>322</v>
      </c>
      <c r="C150" s="127" t="s">
        <v>110</v>
      </c>
      <c r="D150" s="127" t="s">
        <v>29</v>
      </c>
      <c r="E150" s="141"/>
      <c r="F150" s="57"/>
      <c r="G150" s="64"/>
      <c r="H150" s="64"/>
      <c r="I150" s="60"/>
      <c r="J150" s="28"/>
      <c r="K150" s="60"/>
      <c r="L150" s="21"/>
      <c r="M150" s="21"/>
      <c r="N150" s="13"/>
      <c r="O150" s="21"/>
      <c r="P150" s="13">
        <f>P163</f>
        <v>1511.36842</v>
      </c>
      <c r="Q150" s="13"/>
    </row>
    <row r="151" spans="1:17" ht="75.75" customHeight="1" hidden="1">
      <c r="A151" s="22"/>
      <c r="B151" s="23" t="s">
        <v>89</v>
      </c>
      <c r="C151" s="57" t="s">
        <v>110</v>
      </c>
      <c r="D151" s="57" t="s">
        <v>29</v>
      </c>
      <c r="E151" s="58" t="s">
        <v>34</v>
      </c>
      <c r="F151" s="57"/>
      <c r="G151" s="64"/>
      <c r="H151" s="64"/>
      <c r="I151" s="60"/>
      <c r="J151" s="28"/>
      <c r="K151" s="60"/>
      <c r="L151" s="21"/>
      <c r="M151" s="21"/>
      <c r="N151" s="13"/>
      <c r="O151" s="21"/>
      <c r="P151" s="13"/>
      <c r="Q151" s="13"/>
    </row>
    <row r="152" spans="1:17" ht="45.75" customHeight="1" hidden="1">
      <c r="A152" s="22"/>
      <c r="B152" s="61" t="s">
        <v>323</v>
      </c>
      <c r="C152" s="42" t="s">
        <v>110</v>
      </c>
      <c r="D152" s="42" t="s">
        <v>29</v>
      </c>
      <c r="E152" s="43" t="s">
        <v>91</v>
      </c>
      <c r="F152" s="42"/>
      <c r="G152" s="64"/>
      <c r="H152" s="64"/>
      <c r="I152" s="60"/>
      <c r="J152" s="28"/>
      <c r="K152" s="60"/>
      <c r="L152" s="21"/>
      <c r="M152" s="21"/>
      <c r="N152" s="13"/>
      <c r="O152" s="21"/>
      <c r="P152" s="13"/>
      <c r="Q152" s="13"/>
    </row>
    <row r="153" spans="1:17" ht="54" customHeight="1" hidden="1">
      <c r="A153" s="22"/>
      <c r="B153" s="104" t="s">
        <v>92</v>
      </c>
      <c r="C153" s="42" t="s">
        <v>110</v>
      </c>
      <c r="D153" s="42" t="s">
        <v>29</v>
      </c>
      <c r="E153" s="43" t="s">
        <v>93</v>
      </c>
      <c r="F153" s="42" t="s">
        <v>32</v>
      </c>
      <c r="G153" s="64"/>
      <c r="H153" s="64"/>
      <c r="I153" s="60"/>
      <c r="J153" s="28"/>
      <c r="K153" s="60"/>
      <c r="L153" s="21"/>
      <c r="M153" s="21"/>
      <c r="N153" s="13"/>
      <c r="O153" s="21"/>
      <c r="P153" s="13"/>
      <c r="Q153" s="13"/>
    </row>
    <row r="154" spans="1:17" ht="81.75" customHeight="1" hidden="1">
      <c r="A154" s="22"/>
      <c r="B154" s="23" t="s">
        <v>111</v>
      </c>
      <c r="C154" s="57" t="s">
        <v>110</v>
      </c>
      <c r="D154" s="57" t="s">
        <v>29</v>
      </c>
      <c r="E154" s="58" t="s">
        <v>225</v>
      </c>
      <c r="F154" s="42"/>
      <c r="G154" s="64"/>
      <c r="H154" s="64"/>
      <c r="I154" s="60"/>
      <c r="J154" s="28"/>
      <c r="K154" s="60"/>
      <c r="L154" s="21"/>
      <c r="M154" s="21"/>
      <c r="N154" s="13"/>
      <c r="O154" s="21"/>
      <c r="P154" s="13"/>
      <c r="Q154" s="13"/>
    </row>
    <row r="155" spans="1:17" ht="42.75" customHeight="1" hidden="1">
      <c r="A155" s="22"/>
      <c r="B155" s="104" t="s">
        <v>324</v>
      </c>
      <c r="C155" s="42" t="s">
        <v>110</v>
      </c>
      <c r="D155" s="42" t="s">
        <v>29</v>
      </c>
      <c r="E155" s="43" t="s">
        <v>226</v>
      </c>
      <c r="F155" s="42"/>
      <c r="G155" s="64"/>
      <c r="H155" s="64"/>
      <c r="I155" s="60"/>
      <c r="J155" s="28"/>
      <c r="K155" s="60"/>
      <c r="L155" s="21"/>
      <c r="M155" s="21"/>
      <c r="N155" s="13"/>
      <c r="O155" s="21"/>
      <c r="P155" s="13"/>
      <c r="Q155" s="13"/>
    </row>
    <row r="156" spans="1:17" ht="47.25" hidden="1">
      <c r="A156" s="22"/>
      <c r="B156" s="61" t="s">
        <v>325</v>
      </c>
      <c r="C156" s="42" t="s">
        <v>110</v>
      </c>
      <c r="D156" s="42" t="s">
        <v>29</v>
      </c>
      <c r="E156" s="43" t="s">
        <v>227</v>
      </c>
      <c r="F156" s="42" t="s">
        <v>32</v>
      </c>
      <c r="G156" s="64"/>
      <c r="H156" s="64"/>
      <c r="I156" s="60"/>
      <c r="J156" s="28"/>
      <c r="K156" s="60"/>
      <c r="L156" s="21"/>
      <c r="M156" s="21"/>
      <c r="N156" s="13"/>
      <c r="O156" s="21"/>
      <c r="P156" s="13"/>
      <c r="Q156" s="13"/>
    </row>
    <row r="157" spans="1:17" ht="31.5" hidden="1">
      <c r="A157" s="22"/>
      <c r="B157" s="104" t="s">
        <v>326</v>
      </c>
      <c r="C157" s="42" t="s">
        <v>110</v>
      </c>
      <c r="D157" s="42" t="s">
        <v>29</v>
      </c>
      <c r="E157" s="43" t="s">
        <v>228</v>
      </c>
      <c r="F157" s="42"/>
      <c r="G157" s="64"/>
      <c r="H157" s="64"/>
      <c r="I157" s="60"/>
      <c r="J157" s="28"/>
      <c r="K157" s="60"/>
      <c r="L157" s="21"/>
      <c r="M157" s="21"/>
      <c r="N157" s="13"/>
      <c r="O157" s="21"/>
      <c r="P157" s="13"/>
      <c r="Q157" s="13"/>
    </row>
    <row r="158" spans="1:17" ht="47.25" hidden="1">
      <c r="A158" s="22"/>
      <c r="B158" s="61" t="s">
        <v>327</v>
      </c>
      <c r="C158" s="42" t="s">
        <v>110</v>
      </c>
      <c r="D158" s="42" t="s">
        <v>29</v>
      </c>
      <c r="E158" s="43" t="s">
        <v>229</v>
      </c>
      <c r="F158" s="42" t="s">
        <v>32</v>
      </c>
      <c r="G158" s="64"/>
      <c r="H158" s="64"/>
      <c r="I158" s="60"/>
      <c r="J158" s="28"/>
      <c r="K158" s="60"/>
      <c r="L158" s="21"/>
      <c r="M158" s="21"/>
      <c r="N158" s="13"/>
      <c r="O158" s="21"/>
      <c r="P158" s="13"/>
      <c r="Q158" s="13"/>
    </row>
    <row r="159" spans="1:17" ht="47.25" hidden="1">
      <c r="A159" s="22"/>
      <c r="B159" s="104" t="s">
        <v>328</v>
      </c>
      <c r="C159" s="42" t="s">
        <v>110</v>
      </c>
      <c r="D159" s="42" t="s">
        <v>29</v>
      </c>
      <c r="E159" s="43" t="s">
        <v>230</v>
      </c>
      <c r="F159" s="42"/>
      <c r="G159" s="64"/>
      <c r="H159" s="64"/>
      <c r="I159" s="60"/>
      <c r="J159" s="28"/>
      <c r="K159" s="60"/>
      <c r="L159" s="21"/>
      <c r="M159" s="21"/>
      <c r="N159" s="13"/>
      <c r="O159" s="21"/>
      <c r="P159" s="13"/>
      <c r="Q159" s="13"/>
    </row>
    <row r="160" spans="1:17" ht="47.25" hidden="1">
      <c r="A160" s="22"/>
      <c r="B160" s="61" t="s">
        <v>329</v>
      </c>
      <c r="C160" s="42" t="s">
        <v>110</v>
      </c>
      <c r="D160" s="42" t="s">
        <v>29</v>
      </c>
      <c r="E160" s="43" t="s">
        <v>231</v>
      </c>
      <c r="F160" s="42" t="s">
        <v>32</v>
      </c>
      <c r="G160" s="64"/>
      <c r="H160" s="64"/>
      <c r="I160" s="60"/>
      <c r="J160" s="28"/>
      <c r="K160" s="60"/>
      <c r="L160" s="21"/>
      <c r="M160" s="21"/>
      <c r="N160" s="13"/>
      <c r="O160" s="21"/>
      <c r="P160" s="13"/>
      <c r="Q160" s="13"/>
    </row>
    <row r="161" spans="1:17" ht="31.5" hidden="1">
      <c r="A161" s="22"/>
      <c r="B161" s="104" t="s">
        <v>330</v>
      </c>
      <c r="C161" s="42" t="s">
        <v>110</v>
      </c>
      <c r="D161" s="42" t="s">
        <v>29</v>
      </c>
      <c r="E161" s="43" t="s">
        <v>232</v>
      </c>
      <c r="F161" s="42"/>
      <c r="G161" s="64"/>
      <c r="H161" s="64"/>
      <c r="I161" s="60"/>
      <c r="J161" s="28"/>
      <c r="K161" s="60"/>
      <c r="L161" s="21"/>
      <c r="M161" s="21"/>
      <c r="N161" s="13"/>
      <c r="O161" s="21"/>
      <c r="P161" s="13"/>
      <c r="Q161" s="13"/>
    </row>
    <row r="162" spans="1:17" ht="47.25" hidden="1">
      <c r="A162" s="22"/>
      <c r="B162" s="61" t="s">
        <v>331</v>
      </c>
      <c r="C162" s="42" t="s">
        <v>110</v>
      </c>
      <c r="D162" s="42" t="s">
        <v>29</v>
      </c>
      <c r="E162" s="43" t="s">
        <v>233</v>
      </c>
      <c r="F162" s="42" t="s">
        <v>32</v>
      </c>
      <c r="G162" s="64"/>
      <c r="H162" s="64"/>
      <c r="I162" s="60"/>
      <c r="J162" s="28"/>
      <c r="K162" s="60"/>
      <c r="L162" s="21"/>
      <c r="M162" s="21"/>
      <c r="N162" s="13"/>
      <c r="O162" s="21"/>
      <c r="P162" s="13"/>
      <c r="Q162" s="13"/>
    </row>
    <row r="163" spans="1:17" ht="63">
      <c r="A163" s="22"/>
      <c r="B163" s="115" t="s">
        <v>332</v>
      </c>
      <c r="C163" s="127" t="s">
        <v>110</v>
      </c>
      <c r="D163" s="127" t="s">
        <v>29</v>
      </c>
      <c r="E163" s="128" t="s">
        <v>99</v>
      </c>
      <c r="F163" s="105"/>
      <c r="G163" s="64"/>
      <c r="H163" s="64"/>
      <c r="I163" s="60"/>
      <c r="J163" s="28"/>
      <c r="K163" s="60"/>
      <c r="L163" s="21"/>
      <c r="M163" s="21"/>
      <c r="N163" s="13"/>
      <c r="O163" s="21"/>
      <c r="P163" s="13">
        <f>P164</f>
        <v>1511.36842</v>
      </c>
      <c r="Q163" s="13"/>
    </row>
    <row r="164" spans="1:17" ht="31.5">
      <c r="A164" s="22"/>
      <c r="B164" s="226" t="s">
        <v>333</v>
      </c>
      <c r="C164" s="105" t="s">
        <v>110</v>
      </c>
      <c r="D164" s="105" t="s">
        <v>29</v>
      </c>
      <c r="E164" s="131" t="s">
        <v>234</v>
      </c>
      <c r="F164" s="105"/>
      <c r="G164" s="64"/>
      <c r="H164" s="64"/>
      <c r="I164" s="60"/>
      <c r="J164" s="28"/>
      <c r="K164" s="60"/>
      <c r="L164" s="21"/>
      <c r="M164" s="21"/>
      <c r="N164" s="13"/>
      <c r="O164" s="21"/>
      <c r="P164" s="13">
        <f>P165</f>
        <v>1511.36842</v>
      </c>
      <c r="Q164" s="13"/>
    </row>
    <row r="165" spans="1:17" ht="68.25" customHeight="1">
      <c r="A165" s="22"/>
      <c r="B165" s="123" t="s">
        <v>342</v>
      </c>
      <c r="C165" s="105" t="s">
        <v>110</v>
      </c>
      <c r="D165" s="105" t="s">
        <v>29</v>
      </c>
      <c r="E165" s="131" t="s">
        <v>341</v>
      </c>
      <c r="F165" s="105" t="s">
        <v>32</v>
      </c>
      <c r="G165" s="64"/>
      <c r="H165" s="64"/>
      <c r="I165" s="60"/>
      <c r="J165" s="28"/>
      <c r="K165" s="60"/>
      <c r="L165" s="21"/>
      <c r="M165" s="21"/>
      <c r="N165" s="13"/>
      <c r="O165" s="21"/>
      <c r="P165" s="13">
        <v>1511.36842</v>
      </c>
      <c r="Q165" s="13"/>
    </row>
    <row r="166" spans="1:17" ht="47.25" hidden="1">
      <c r="A166" s="22"/>
      <c r="B166" s="123" t="s">
        <v>334</v>
      </c>
      <c r="C166" s="105" t="s">
        <v>110</v>
      </c>
      <c r="D166" s="105" t="s">
        <v>29</v>
      </c>
      <c r="E166" s="131" t="s">
        <v>235</v>
      </c>
      <c r="F166" s="105"/>
      <c r="G166" s="64"/>
      <c r="H166" s="64"/>
      <c r="I166" s="60"/>
      <c r="J166" s="28"/>
      <c r="K166" s="60"/>
      <c r="L166" s="21"/>
      <c r="M166" s="21"/>
      <c r="N166" s="13"/>
      <c r="O166" s="21"/>
      <c r="P166" s="13"/>
      <c r="Q166" s="13"/>
    </row>
    <row r="167" spans="1:17" ht="101.25" customHeight="1" hidden="1">
      <c r="A167" s="22"/>
      <c r="B167" s="123" t="s">
        <v>335</v>
      </c>
      <c r="C167" s="105" t="s">
        <v>110</v>
      </c>
      <c r="D167" s="105" t="s">
        <v>29</v>
      </c>
      <c r="E167" s="131" t="s">
        <v>236</v>
      </c>
      <c r="F167" s="105" t="s">
        <v>32</v>
      </c>
      <c r="G167" s="47"/>
      <c r="H167" s="47"/>
      <c r="I167" s="48"/>
      <c r="J167" s="28"/>
      <c r="K167" s="48"/>
      <c r="L167" s="34"/>
      <c r="M167" s="34"/>
      <c r="N167" s="13"/>
      <c r="O167" s="34"/>
      <c r="P167" s="13"/>
      <c r="Q167" s="13"/>
    </row>
    <row r="168" spans="1:17" ht="45" customHeight="1" hidden="1">
      <c r="A168" s="22"/>
      <c r="B168" s="23" t="s">
        <v>336</v>
      </c>
      <c r="C168" s="57" t="s">
        <v>110</v>
      </c>
      <c r="D168" s="57" t="s">
        <v>110</v>
      </c>
      <c r="E168" s="58"/>
      <c r="F168" s="57"/>
      <c r="G168" s="47"/>
      <c r="H168" s="47"/>
      <c r="I168" s="48"/>
      <c r="J168" s="28"/>
      <c r="K168" s="48"/>
      <c r="L168" s="34"/>
      <c r="M168" s="34"/>
      <c r="N168" s="13"/>
      <c r="O168" s="34"/>
      <c r="P168" s="13"/>
      <c r="Q168" s="13"/>
    </row>
    <row r="169" spans="1:17" ht="87.75" customHeight="1" hidden="1">
      <c r="A169" s="22"/>
      <c r="B169" s="61" t="s">
        <v>61</v>
      </c>
      <c r="C169" s="42" t="s">
        <v>110</v>
      </c>
      <c r="D169" s="42" t="s">
        <v>110</v>
      </c>
      <c r="E169" s="43" t="s">
        <v>20</v>
      </c>
      <c r="F169" s="42"/>
      <c r="G169" s="47"/>
      <c r="H169" s="47"/>
      <c r="I169" s="48"/>
      <c r="J169" s="28"/>
      <c r="K169" s="48"/>
      <c r="L169" s="34"/>
      <c r="M169" s="34"/>
      <c r="N169" s="13"/>
      <c r="O169" s="34"/>
      <c r="P169" s="13"/>
      <c r="Q169" s="13"/>
    </row>
    <row r="170" spans="1:17" ht="44.25" customHeight="1" hidden="1">
      <c r="A170" s="22"/>
      <c r="B170" s="49" t="s">
        <v>169</v>
      </c>
      <c r="C170" s="42" t="s">
        <v>110</v>
      </c>
      <c r="D170" s="42" t="s">
        <v>110</v>
      </c>
      <c r="E170" s="43" t="s">
        <v>63</v>
      </c>
      <c r="F170" s="42"/>
      <c r="G170" s="47"/>
      <c r="H170" s="47"/>
      <c r="I170" s="48"/>
      <c r="J170" s="28"/>
      <c r="K170" s="48"/>
      <c r="L170" s="34"/>
      <c r="M170" s="34"/>
      <c r="N170" s="13"/>
      <c r="O170" s="34"/>
      <c r="P170" s="13"/>
      <c r="Q170" s="13"/>
    </row>
    <row r="171" spans="1:17" ht="101.25" customHeight="1" hidden="1">
      <c r="A171" s="22"/>
      <c r="B171" s="49" t="s">
        <v>64</v>
      </c>
      <c r="C171" s="42" t="s">
        <v>110</v>
      </c>
      <c r="D171" s="42" t="s">
        <v>110</v>
      </c>
      <c r="E171" s="43" t="s">
        <v>65</v>
      </c>
      <c r="F171" s="42" t="s">
        <v>27</v>
      </c>
      <c r="G171" s="47"/>
      <c r="H171" s="47"/>
      <c r="I171" s="48"/>
      <c r="J171" s="28"/>
      <c r="K171" s="48"/>
      <c r="L171" s="34"/>
      <c r="M171" s="34"/>
      <c r="N171" s="13"/>
      <c r="O171" s="34"/>
      <c r="P171" s="13"/>
      <c r="Q171" s="13"/>
    </row>
    <row r="172" spans="1:17" ht="30" customHeight="1" hidden="1">
      <c r="A172" s="22"/>
      <c r="B172" s="85" t="s">
        <v>337</v>
      </c>
      <c r="C172" s="57" t="s">
        <v>225</v>
      </c>
      <c r="D172" s="42"/>
      <c r="E172" s="43"/>
      <c r="F172" s="42"/>
      <c r="G172" s="47"/>
      <c r="H172" s="47"/>
      <c r="I172" s="48"/>
      <c r="J172" s="28"/>
      <c r="K172" s="48"/>
      <c r="L172" s="34"/>
      <c r="M172" s="34"/>
      <c r="N172" s="13"/>
      <c r="O172" s="34"/>
      <c r="P172" s="13"/>
      <c r="Q172" s="13"/>
    </row>
    <row r="173" spans="1:17" ht="36" customHeight="1" hidden="1">
      <c r="A173" s="22"/>
      <c r="B173" s="49" t="s">
        <v>338</v>
      </c>
      <c r="C173" s="42" t="s">
        <v>225</v>
      </c>
      <c r="D173" s="42" t="s">
        <v>110</v>
      </c>
      <c r="E173" s="43"/>
      <c r="F173" s="42"/>
      <c r="G173" s="47"/>
      <c r="H173" s="47"/>
      <c r="I173" s="48"/>
      <c r="J173" s="28"/>
      <c r="K173" s="48"/>
      <c r="L173" s="34"/>
      <c r="M173" s="34"/>
      <c r="N173" s="13"/>
      <c r="O173" s="34"/>
      <c r="P173" s="13"/>
      <c r="Q173" s="13"/>
    </row>
    <row r="174" spans="1:17" ht="101.25" customHeight="1" hidden="1">
      <c r="A174" s="22"/>
      <c r="B174" s="23" t="s">
        <v>111</v>
      </c>
      <c r="C174" s="57" t="s">
        <v>225</v>
      </c>
      <c r="D174" s="57" t="s">
        <v>110</v>
      </c>
      <c r="E174" s="58" t="s">
        <v>225</v>
      </c>
      <c r="F174" s="57"/>
      <c r="G174" s="47"/>
      <c r="H174" s="47"/>
      <c r="I174" s="48"/>
      <c r="J174" s="28"/>
      <c r="K174" s="48"/>
      <c r="L174" s="34"/>
      <c r="M174" s="34"/>
      <c r="N174" s="13"/>
      <c r="O174" s="34"/>
      <c r="P174" s="13"/>
      <c r="Q174" s="13"/>
    </row>
    <row r="175" spans="1:17" ht="41.25" customHeight="1" hidden="1">
      <c r="A175" s="22"/>
      <c r="B175" s="49" t="s">
        <v>339</v>
      </c>
      <c r="C175" s="42" t="s">
        <v>225</v>
      </c>
      <c r="D175" s="42" t="s">
        <v>110</v>
      </c>
      <c r="E175" s="43" t="s">
        <v>237</v>
      </c>
      <c r="F175" s="42"/>
      <c r="G175" s="47"/>
      <c r="H175" s="47"/>
      <c r="I175" s="48"/>
      <c r="J175" s="28"/>
      <c r="K175" s="48"/>
      <c r="L175" s="34"/>
      <c r="M175" s="34"/>
      <c r="N175" s="13"/>
      <c r="O175" s="34"/>
      <c r="P175" s="13"/>
      <c r="Q175" s="13"/>
    </row>
    <row r="176" spans="1:17" ht="51.75" customHeight="1" hidden="1">
      <c r="A176" s="22"/>
      <c r="B176" s="49" t="s">
        <v>340</v>
      </c>
      <c r="C176" s="42" t="s">
        <v>225</v>
      </c>
      <c r="D176" s="42" t="s">
        <v>110</v>
      </c>
      <c r="E176" s="43" t="s">
        <v>238</v>
      </c>
      <c r="F176" s="42" t="s">
        <v>32</v>
      </c>
      <c r="G176" s="47"/>
      <c r="H176" s="47"/>
      <c r="I176" s="48"/>
      <c r="J176" s="28"/>
      <c r="K176" s="48"/>
      <c r="L176" s="34"/>
      <c r="M176" s="34"/>
      <c r="N176" s="13"/>
      <c r="O176" s="34"/>
      <c r="P176" s="13"/>
      <c r="Q176" s="13"/>
    </row>
    <row r="177" spans="1:17" ht="15.75">
      <c r="A177" s="22"/>
      <c r="B177" s="23" t="s">
        <v>239</v>
      </c>
      <c r="C177" s="57" t="s">
        <v>152</v>
      </c>
      <c r="D177" s="57"/>
      <c r="E177" s="43"/>
      <c r="F177" s="42"/>
      <c r="G177" s="59" t="e">
        <f>G178</f>
        <v>#REF!</v>
      </c>
      <c r="H177" s="59" t="e">
        <f>H178</f>
        <v>#REF!</v>
      </c>
      <c r="I177" s="102" t="e">
        <f>I178</f>
        <v>#REF!</v>
      </c>
      <c r="J177" s="28" t="e">
        <f aca="true" t="shared" si="24" ref="J177:J184">I177-H177</f>
        <v>#REF!</v>
      </c>
      <c r="K177" s="102" t="e">
        <f>K178</f>
        <v>#REF!</v>
      </c>
      <c r="L177" s="21">
        <f>L178</f>
        <v>25110.2</v>
      </c>
      <c r="M177" s="21">
        <v>0</v>
      </c>
      <c r="N177" s="13">
        <f t="shared" si="16"/>
        <v>25110.2</v>
      </c>
      <c r="O177" s="21">
        <f>O178</f>
        <v>25110.2</v>
      </c>
      <c r="P177" s="165">
        <f>P178</f>
        <v>500</v>
      </c>
      <c r="Q177" s="13">
        <f aca="true" t="shared" si="25" ref="Q177:Q206">O177+P177</f>
        <v>25610.2</v>
      </c>
    </row>
    <row r="178" spans="1:17" ht="24" customHeight="1">
      <c r="A178" s="22"/>
      <c r="B178" s="143" t="s">
        <v>240</v>
      </c>
      <c r="C178" s="57" t="s">
        <v>152</v>
      </c>
      <c r="D178" s="57" t="s">
        <v>18</v>
      </c>
      <c r="E178" s="58"/>
      <c r="F178" s="57"/>
      <c r="G178" s="59" t="e">
        <f>G185+#REF!+G182+G192+G196</f>
        <v>#REF!</v>
      </c>
      <c r="H178" s="59" t="e">
        <f>H185+#REF!+H182+H192+H196</f>
        <v>#REF!</v>
      </c>
      <c r="I178" s="102" t="e">
        <f>I185+#REF!+I182+I192+I196</f>
        <v>#REF!</v>
      </c>
      <c r="J178" s="28" t="e">
        <f t="shared" si="24"/>
        <v>#REF!</v>
      </c>
      <c r="K178" s="102" t="e">
        <f>K185+#REF!+K182+K192+K196</f>
        <v>#REF!</v>
      </c>
      <c r="L178" s="21">
        <f>L179+L182+L192+L198</f>
        <v>25110.2</v>
      </c>
      <c r="M178" s="21"/>
      <c r="N178" s="13">
        <f t="shared" si="16"/>
        <v>25110.2</v>
      </c>
      <c r="O178" s="21">
        <f>O179+O182+O192+O198</f>
        <v>25110.2</v>
      </c>
      <c r="P178" s="165">
        <f>P179+P182+P192+P198</f>
        <v>500</v>
      </c>
      <c r="Q178" s="13">
        <f t="shared" si="25"/>
        <v>25610.2</v>
      </c>
    </row>
    <row r="179" spans="1:17" ht="66.75" customHeight="1" hidden="1">
      <c r="A179" s="22"/>
      <c r="B179" s="23" t="s">
        <v>61</v>
      </c>
      <c r="C179" s="57" t="s">
        <v>152</v>
      </c>
      <c r="D179" s="57" t="s">
        <v>18</v>
      </c>
      <c r="E179" s="58" t="s">
        <v>20</v>
      </c>
      <c r="F179" s="57"/>
      <c r="G179" s="59">
        <f aca="true" t="shared" si="26" ref="G179:I180">G180</f>
        <v>2525.5</v>
      </c>
      <c r="H179" s="59">
        <f t="shared" si="26"/>
        <v>2525.5</v>
      </c>
      <c r="I179" s="60">
        <f t="shared" si="26"/>
        <v>2525.5</v>
      </c>
      <c r="J179" s="28">
        <f t="shared" si="24"/>
        <v>0</v>
      </c>
      <c r="K179" s="60">
        <f>K180</f>
        <v>2525.5</v>
      </c>
      <c r="L179" s="21">
        <f>L180</f>
        <v>2469.7000000000003</v>
      </c>
      <c r="M179" s="21"/>
      <c r="N179" s="13">
        <f t="shared" si="16"/>
        <v>2469.7000000000003</v>
      </c>
      <c r="O179" s="21">
        <f>O180</f>
        <v>2469.7000000000003</v>
      </c>
      <c r="P179" s="165">
        <f>P180</f>
        <v>0</v>
      </c>
      <c r="Q179" s="13">
        <f t="shared" si="25"/>
        <v>2469.7000000000003</v>
      </c>
    </row>
    <row r="180" spans="1:17" ht="36" customHeight="1" hidden="1">
      <c r="A180" s="22"/>
      <c r="B180" s="49" t="s">
        <v>169</v>
      </c>
      <c r="C180" s="42" t="s">
        <v>152</v>
      </c>
      <c r="D180" s="42" t="s">
        <v>18</v>
      </c>
      <c r="E180" s="43" t="s">
        <v>63</v>
      </c>
      <c r="F180" s="42"/>
      <c r="G180" s="44">
        <f t="shared" si="26"/>
        <v>2525.5</v>
      </c>
      <c r="H180" s="44">
        <f t="shared" si="26"/>
        <v>2525.5</v>
      </c>
      <c r="I180" s="48">
        <f t="shared" si="26"/>
        <v>2525.5</v>
      </c>
      <c r="J180" s="28">
        <f t="shared" si="24"/>
        <v>0</v>
      </c>
      <c r="K180" s="48">
        <f>K181</f>
        <v>2525.5</v>
      </c>
      <c r="L180" s="34">
        <f>L181</f>
        <v>2469.7000000000003</v>
      </c>
      <c r="M180" s="34"/>
      <c r="N180" s="13">
        <f t="shared" si="16"/>
        <v>2469.7000000000003</v>
      </c>
      <c r="O180" s="34">
        <f>O181</f>
        <v>2469.7000000000003</v>
      </c>
      <c r="P180" s="98">
        <f>P181</f>
        <v>0</v>
      </c>
      <c r="Q180" s="13">
        <f t="shared" si="25"/>
        <v>2469.7000000000003</v>
      </c>
    </row>
    <row r="181" spans="1:17" ht="96" customHeight="1" hidden="1">
      <c r="A181" s="22"/>
      <c r="B181" s="49" t="s">
        <v>64</v>
      </c>
      <c r="C181" s="42" t="s">
        <v>152</v>
      </c>
      <c r="D181" s="42" t="s">
        <v>18</v>
      </c>
      <c r="E181" s="43" t="s">
        <v>65</v>
      </c>
      <c r="F181" s="42" t="s">
        <v>27</v>
      </c>
      <c r="G181" s="47">
        <v>2525.5</v>
      </c>
      <c r="H181" s="47">
        <v>2525.5</v>
      </c>
      <c r="I181" s="48">
        <v>2525.5</v>
      </c>
      <c r="J181" s="28">
        <f t="shared" si="24"/>
        <v>0</v>
      </c>
      <c r="K181" s="48">
        <v>2525.5</v>
      </c>
      <c r="L181" s="34">
        <f>2324+144.8+0.9</f>
        <v>2469.7000000000003</v>
      </c>
      <c r="M181" s="34"/>
      <c r="N181" s="13">
        <f t="shared" si="16"/>
        <v>2469.7000000000003</v>
      </c>
      <c r="O181" s="34">
        <f>2324+144.8+0.9</f>
        <v>2469.7000000000003</v>
      </c>
      <c r="P181" s="165">
        <v>0</v>
      </c>
      <c r="Q181" s="13">
        <f t="shared" si="25"/>
        <v>2469.7000000000003</v>
      </c>
    </row>
    <row r="182" spans="1:17" ht="89.25" customHeight="1">
      <c r="A182" s="22"/>
      <c r="B182" s="144" t="s">
        <v>241</v>
      </c>
      <c r="C182" s="145" t="s">
        <v>152</v>
      </c>
      <c r="D182" s="57" t="s">
        <v>18</v>
      </c>
      <c r="E182" s="58" t="s">
        <v>242</v>
      </c>
      <c r="F182" s="57"/>
      <c r="G182" s="47">
        <f aca="true" t="shared" si="27" ref="G182:I183">G183</f>
        <v>94.5</v>
      </c>
      <c r="H182" s="47">
        <f t="shared" si="27"/>
        <v>94.5</v>
      </c>
      <c r="I182" s="48">
        <f t="shared" si="27"/>
        <v>94.5</v>
      </c>
      <c r="J182" s="28">
        <f t="shared" si="24"/>
        <v>0</v>
      </c>
      <c r="K182" s="48">
        <f>K183</f>
        <v>94.5</v>
      </c>
      <c r="L182" s="21">
        <f>L183+L185</f>
        <v>11452.4</v>
      </c>
      <c r="M182" s="21"/>
      <c r="N182" s="13">
        <f t="shared" si="16"/>
        <v>11452.4</v>
      </c>
      <c r="O182" s="21">
        <f>O183+O185</f>
        <v>11452.4</v>
      </c>
      <c r="P182" s="165">
        <f>P183+P185+P190</f>
        <v>500</v>
      </c>
      <c r="Q182" s="13">
        <f t="shared" si="25"/>
        <v>11952.4</v>
      </c>
    </row>
    <row r="183" spans="1:17" ht="33.75" customHeight="1" hidden="1">
      <c r="A183" s="22"/>
      <c r="B183" s="146" t="s">
        <v>243</v>
      </c>
      <c r="C183" s="147" t="s">
        <v>152</v>
      </c>
      <c r="D183" s="42" t="s">
        <v>18</v>
      </c>
      <c r="E183" s="43" t="s">
        <v>244</v>
      </c>
      <c r="F183" s="42"/>
      <c r="G183" s="47">
        <f t="shared" si="27"/>
        <v>94.5</v>
      </c>
      <c r="H183" s="47">
        <f t="shared" si="27"/>
        <v>94.5</v>
      </c>
      <c r="I183" s="48">
        <f t="shared" si="27"/>
        <v>94.5</v>
      </c>
      <c r="J183" s="28">
        <f t="shared" si="24"/>
        <v>0</v>
      </c>
      <c r="K183" s="48">
        <f>K184</f>
        <v>94.5</v>
      </c>
      <c r="L183" s="34">
        <f>L184</f>
        <v>80</v>
      </c>
      <c r="M183" s="34"/>
      <c r="N183" s="13">
        <f t="shared" si="16"/>
        <v>80</v>
      </c>
      <c r="O183" s="34">
        <f>O184</f>
        <v>80</v>
      </c>
      <c r="P183" s="34">
        <f>P184</f>
        <v>0</v>
      </c>
      <c r="Q183" s="13">
        <f t="shared" si="25"/>
        <v>80</v>
      </c>
    </row>
    <row r="184" spans="1:17" ht="61.5" customHeight="1" hidden="1">
      <c r="A184" s="22"/>
      <c r="B184" s="146" t="s">
        <v>245</v>
      </c>
      <c r="C184" s="147" t="s">
        <v>152</v>
      </c>
      <c r="D184" s="42" t="s">
        <v>18</v>
      </c>
      <c r="E184" s="43" t="s">
        <v>246</v>
      </c>
      <c r="F184" s="42" t="s">
        <v>247</v>
      </c>
      <c r="G184" s="47">
        <v>94.5</v>
      </c>
      <c r="H184" s="47">
        <v>94.5</v>
      </c>
      <c r="I184" s="48">
        <v>94.5</v>
      </c>
      <c r="J184" s="28">
        <f t="shared" si="24"/>
        <v>0</v>
      </c>
      <c r="K184" s="48">
        <v>94.5</v>
      </c>
      <c r="L184" s="34">
        <f>80</f>
        <v>80</v>
      </c>
      <c r="M184" s="34"/>
      <c r="N184" s="13">
        <f t="shared" si="16"/>
        <v>80</v>
      </c>
      <c r="O184" s="34">
        <f>80</f>
        <v>80</v>
      </c>
      <c r="P184" s="13">
        <v>0</v>
      </c>
      <c r="Q184" s="13">
        <f t="shared" si="25"/>
        <v>80</v>
      </c>
    </row>
    <row r="185" spans="1:17" ht="27" customHeight="1" hidden="1">
      <c r="A185" s="22"/>
      <c r="B185" s="61" t="s">
        <v>248</v>
      </c>
      <c r="C185" s="42" t="s">
        <v>152</v>
      </c>
      <c r="D185" s="42" t="s">
        <v>18</v>
      </c>
      <c r="E185" s="43" t="s">
        <v>249</v>
      </c>
      <c r="F185" s="42"/>
      <c r="G185" s="44"/>
      <c r="H185" s="44"/>
      <c r="I185" s="48"/>
      <c r="J185" s="148"/>
      <c r="K185" s="48"/>
      <c r="L185" s="34">
        <f>L186+L187+L188</f>
        <v>11372.4</v>
      </c>
      <c r="M185" s="34"/>
      <c r="N185" s="13">
        <f t="shared" si="16"/>
        <v>11372.4</v>
      </c>
      <c r="O185" s="34">
        <f>O186+O187+O188</f>
        <v>11372.4</v>
      </c>
      <c r="P185" s="34">
        <f>P186+P187+P188</f>
        <v>0</v>
      </c>
      <c r="Q185" s="13">
        <f t="shared" si="25"/>
        <v>11372.4</v>
      </c>
    </row>
    <row r="186" spans="1:17" ht="63" customHeight="1" hidden="1">
      <c r="A186" s="22"/>
      <c r="B186" s="149" t="s">
        <v>250</v>
      </c>
      <c r="C186" s="42" t="s">
        <v>152</v>
      </c>
      <c r="D186" s="42" t="s">
        <v>18</v>
      </c>
      <c r="E186" s="43" t="s">
        <v>251</v>
      </c>
      <c r="F186" s="42" t="s">
        <v>247</v>
      </c>
      <c r="G186" s="44"/>
      <c r="H186" s="44"/>
      <c r="I186" s="48"/>
      <c r="J186" s="148"/>
      <c r="K186" s="48"/>
      <c r="L186" s="34">
        <f>5724+72.4</f>
        <v>5796.4</v>
      </c>
      <c r="M186" s="34"/>
      <c r="N186" s="13">
        <f t="shared" si="16"/>
        <v>5796.4</v>
      </c>
      <c r="O186" s="34">
        <f>5724+72.4</f>
        <v>5796.4</v>
      </c>
      <c r="P186" s="13">
        <v>0</v>
      </c>
      <c r="Q186" s="13">
        <f t="shared" si="25"/>
        <v>5796.4</v>
      </c>
    </row>
    <row r="187" spans="1:17" ht="70.5" customHeight="1" hidden="1">
      <c r="A187" s="22"/>
      <c r="B187" s="149" t="s">
        <v>252</v>
      </c>
      <c r="C187" s="42" t="s">
        <v>152</v>
      </c>
      <c r="D187" s="42" t="s">
        <v>18</v>
      </c>
      <c r="E187" s="43" t="s">
        <v>253</v>
      </c>
      <c r="F187" s="42" t="s">
        <v>247</v>
      </c>
      <c r="G187" s="47"/>
      <c r="H187" s="47"/>
      <c r="I187" s="48"/>
      <c r="J187" s="28"/>
      <c r="K187" s="48"/>
      <c r="L187" s="34">
        <v>1708.6</v>
      </c>
      <c r="M187" s="34"/>
      <c r="N187" s="13">
        <f t="shared" si="16"/>
        <v>1708.6</v>
      </c>
      <c r="O187" s="34">
        <v>1708.6</v>
      </c>
      <c r="P187" s="13">
        <v>0</v>
      </c>
      <c r="Q187" s="13">
        <f t="shared" si="25"/>
        <v>1708.6</v>
      </c>
    </row>
    <row r="188" spans="1:17" ht="83.25" customHeight="1" hidden="1">
      <c r="A188" s="22"/>
      <c r="B188" s="150" t="s">
        <v>254</v>
      </c>
      <c r="C188" s="42" t="s">
        <v>152</v>
      </c>
      <c r="D188" s="42" t="s">
        <v>18</v>
      </c>
      <c r="E188" s="43" t="s">
        <v>255</v>
      </c>
      <c r="F188" s="42" t="s">
        <v>247</v>
      </c>
      <c r="G188" s="47"/>
      <c r="H188" s="47"/>
      <c r="I188" s="48"/>
      <c r="J188" s="28"/>
      <c r="K188" s="48"/>
      <c r="L188" s="34">
        <f>3132.6+734.8</f>
        <v>3867.3999999999996</v>
      </c>
      <c r="M188" s="34"/>
      <c r="N188" s="13">
        <f t="shared" si="16"/>
        <v>3867.3999999999996</v>
      </c>
      <c r="O188" s="34">
        <f>3132.6+734.8</f>
        <v>3867.3999999999996</v>
      </c>
      <c r="P188" s="13">
        <v>0</v>
      </c>
      <c r="Q188" s="13">
        <f t="shared" si="25"/>
        <v>3867.3999999999996</v>
      </c>
    </row>
    <row r="189" spans="1:17" ht="24" customHeight="1" hidden="1">
      <c r="A189" s="22"/>
      <c r="B189" s="137" t="s">
        <v>178</v>
      </c>
      <c r="C189" s="42" t="s">
        <v>152</v>
      </c>
      <c r="D189" s="42" t="s">
        <v>18</v>
      </c>
      <c r="E189" s="43" t="s">
        <v>255</v>
      </c>
      <c r="F189" s="42" t="s">
        <v>247</v>
      </c>
      <c r="G189" s="47"/>
      <c r="H189" s="47"/>
      <c r="I189" s="48"/>
      <c r="J189" s="28"/>
      <c r="K189" s="48"/>
      <c r="L189" s="34">
        <v>734.8</v>
      </c>
      <c r="M189" s="34"/>
      <c r="N189" s="13">
        <f t="shared" si="16"/>
        <v>734.8</v>
      </c>
      <c r="O189" s="34">
        <v>734.8</v>
      </c>
      <c r="P189" s="13">
        <v>0</v>
      </c>
      <c r="Q189" s="13">
        <f t="shared" si="25"/>
        <v>734.8</v>
      </c>
    </row>
    <row r="190" spans="1:17" ht="52.5" customHeight="1">
      <c r="A190" s="22"/>
      <c r="B190" s="61" t="s">
        <v>318</v>
      </c>
      <c r="C190" s="42" t="s">
        <v>152</v>
      </c>
      <c r="D190" s="42" t="s">
        <v>18</v>
      </c>
      <c r="E190" s="43" t="s">
        <v>314</v>
      </c>
      <c r="F190" s="42"/>
      <c r="G190" s="47"/>
      <c r="H190" s="47"/>
      <c r="I190" s="48"/>
      <c r="J190" s="28"/>
      <c r="K190" s="48"/>
      <c r="L190" s="34">
        <v>0</v>
      </c>
      <c r="M190" s="34"/>
      <c r="N190" s="13"/>
      <c r="O190" s="13">
        <v>0</v>
      </c>
      <c r="P190" s="13">
        <v>500</v>
      </c>
      <c r="Q190" s="13">
        <f t="shared" si="25"/>
        <v>500</v>
      </c>
    </row>
    <row r="191" spans="1:17" ht="83.25" customHeight="1">
      <c r="A191" s="22"/>
      <c r="B191" s="167" t="s">
        <v>321</v>
      </c>
      <c r="C191" s="42" t="s">
        <v>152</v>
      </c>
      <c r="D191" s="42" t="s">
        <v>18</v>
      </c>
      <c r="E191" s="43" t="s">
        <v>315</v>
      </c>
      <c r="F191" s="42" t="s">
        <v>247</v>
      </c>
      <c r="G191" s="47"/>
      <c r="H191" s="47"/>
      <c r="I191" s="48"/>
      <c r="J191" s="28"/>
      <c r="K191" s="48"/>
      <c r="L191" s="34">
        <v>0</v>
      </c>
      <c r="M191" s="34"/>
      <c r="N191" s="13"/>
      <c r="O191" s="13">
        <v>0</v>
      </c>
      <c r="P191" s="13">
        <v>500</v>
      </c>
      <c r="Q191" s="13">
        <f t="shared" si="25"/>
        <v>500</v>
      </c>
    </row>
    <row r="192" spans="1:17" ht="64.5" customHeight="1" hidden="1">
      <c r="A192" s="22"/>
      <c r="B192" s="151" t="s">
        <v>256</v>
      </c>
      <c r="C192" s="145" t="s">
        <v>152</v>
      </c>
      <c r="D192" s="57" t="s">
        <v>18</v>
      </c>
      <c r="E192" s="58" t="s">
        <v>257</v>
      </c>
      <c r="F192" s="42"/>
      <c r="G192" s="47" t="e">
        <f>G193</f>
        <v>#REF!</v>
      </c>
      <c r="H192" s="47" t="e">
        <f>H193</f>
        <v>#REF!</v>
      </c>
      <c r="I192" s="48" t="e">
        <f>I193</f>
        <v>#REF!</v>
      </c>
      <c r="J192" s="28" t="e">
        <f>I192-H192</f>
        <v>#REF!</v>
      </c>
      <c r="K192" s="48" t="e">
        <f>K193</f>
        <v>#REF!</v>
      </c>
      <c r="L192" s="21">
        <f>L193</f>
        <v>11059.9</v>
      </c>
      <c r="M192" s="21"/>
      <c r="N192" s="13">
        <f aca="true" t="shared" si="28" ref="N192:N234">L192+M192</f>
        <v>11059.9</v>
      </c>
      <c r="O192" s="21">
        <f>O193</f>
        <v>11059.9</v>
      </c>
      <c r="P192" s="21">
        <f>P193</f>
        <v>0</v>
      </c>
      <c r="Q192" s="13">
        <f t="shared" si="25"/>
        <v>11059.9</v>
      </c>
    </row>
    <row r="193" spans="1:17" ht="39.75" customHeight="1" hidden="1">
      <c r="A193" s="22"/>
      <c r="B193" s="66" t="s">
        <v>258</v>
      </c>
      <c r="C193" s="147" t="s">
        <v>152</v>
      </c>
      <c r="D193" s="42" t="s">
        <v>18</v>
      </c>
      <c r="E193" s="43" t="s">
        <v>259</v>
      </c>
      <c r="F193" s="42"/>
      <c r="G193" s="47" t="e">
        <f>#REF!+#REF!</f>
        <v>#REF!</v>
      </c>
      <c r="H193" s="47" t="e">
        <f>#REF!+#REF!</f>
        <v>#REF!</v>
      </c>
      <c r="I193" s="48" t="e">
        <f>#REF!+#REF!</f>
        <v>#REF!</v>
      </c>
      <c r="J193" s="28" t="e">
        <f>I193-H193</f>
        <v>#REF!</v>
      </c>
      <c r="K193" s="48" t="e">
        <f>#REF!+#REF!+K195</f>
        <v>#REF!</v>
      </c>
      <c r="L193" s="34">
        <f>L194</f>
        <v>11059.9</v>
      </c>
      <c r="M193" s="34"/>
      <c r="N193" s="13">
        <f t="shared" si="28"/>
        <v>11059.9</v>
      </c>
      <c r="O193" s="34">
        <f>O194</f>
        <v>11059.9</v>
      </c>
      <c r="P193" s="34">
        <f>P194</f>
        <v>0</v>
      </c>
      <c r="Q193" s="13">
        <f t="shared" si="25"/>
        <v>11059.9</v>
      </c>
    </row>
    <row r="194" spans="1:22" ht="76.5" customHeight="1" hidden="1">
      <c r="A194" s="22"/>
      <c r="B194" s="152" t="s">
        <v>260</v>
      </c>
      <c r="C194" s="67" t="s">
        <v>152</v>
      </c>
      <c r="D194" s="67" t="s">
        <v>18</v>
      </c>
      <c r="E194" s="153" t="s">
        <v>261</v>
      </c>
      <c r="F194" s="67" t="s">
        <v>247</v>
      </c>
      <c r="G194" s="154"/>
      <c r="H194" s="154"/>
      <c r="I194" s="70"/>
      <c r="J194" s="28"/>
      <c r="K194" s="70"/>
      <c r="L194" s="34">
        <f>8958.5+2101.4</f>
        <v>11059.9</v>
      </c>
      <c r="M194" s="34"/>
      <c r="N194" s="13">
        <f t="shared" si="28"/>
        <v>11059.9</v>
      </c>
      <c r="O194" s="34">
        <f>8958.5+2101.4</f>
        <v>11059.9</v>
      </c>
      <c r="P194" s="13">
        <v>0</v>
      </c>
      <c r="Q194" s="13">
        <f t="shared" si="25"/>
        <v>11059.9</v>
      </c>
      <c r="V194" s="155"/>
    </row>
    <row r="195" spans="1:17" ht="21" customHeight="1" hidden="1">
      <c r="A195" s="22"/>
      <c r="B195" s="156" t="s">
        <v>178</v>
      </c>
      <c r="C195" s="147" t="s">
        <v>152</v>
      </c>
      <c r="D195" s="42" t="s">
        <v>18</v>
      </c>
      <c r="E195" s="153" t="s">
        <v>261</v>
      </c>
      <c r="F195" s="42" t="s">
        <v>247</v>
      </c>
      <c r="G195" s="47"/>
      <c r="H195" s="47"/>
      <c r="I195" s="48"/>
      <c r="J195" s="28"/>
      <c r="K195" s="48">
        <f>4774+653.5</f>
        <v>5427.5</v>
      </c>
      <c r="L195" s="34">
        <v>2101.4</v>
      </c>
      <c r="M195" s="34"/>
      <c r="N195" s="13">
        <f t="shared" si="28"/>
        <v>2101.4</v>
      </c>
      <c r="O195" s="34">
        <v>2101.4</v>
      </c>
      <c r="P195" s="13">
        <v>0</v>
      </c>
      <c r="Q195" s="13">
        <f t="shared" si="25"/>
        <v>2101.4</v>
      </c>
    </row>
    <row r="196" spans="1:17" ht="63.75" customHeight="1" hidden="1">
      <c r="A196" s="22"/>
      <c r="B196" s="23" t="s">
        <v>262</v>
      </c>
      <c r="C196" s="57" t="s">
        <v>152</v>
      </c>
      <c r="D196" s="57" t="s">
        <v>18</v>
      </c>
      <c r="E196" s="141" t="s">
        <v>263</v>
      </c>
      <c r="F196" s="57"/>
      <c r="G196" s="64">
        <f aca="true" t="shared" si="29" ref="G196:I197">G197</f>
        <v>214.6</v>
      </c>
      <c r="H196" s="64">
        <f t="shared" si="29"/>
        <v>214.6</v>
      </c>
      <c r="I196" s="60">
        <f t="shared" si="29"/>
        <v>214.6</v>
      </c>
      <c r="J196" s="28">
        <f aca="true" t="shared" si="30" ref="J196:J208">I196-H196</f>
        <v>0</v>
      </c>
      <c r="K196" s="60">
        <f>K197</f>
        <v>214.6</v>
      </c>
      <c r="L196" s="107">
        <f>L197</f>
        <v>128.2</v>
      </c>
      <c r="M196" s="107"/>
      <c r="N196" s="13">
        <f t="shared" si="28"/>
        <v>128.2</v>
      </c>
      <c r="O196" s="107">
        <f>O197</f>
        <v>128.2</v>
      </c>
      <c r="P196" s="107">
        <f>P197</f>
        <v>0</v>
      </c>
      <c r="Q196" s="13">
        <f t="shared" si="25"/>
        <v>128.2</v>
      </c>
    </row>
    <row r="197" spans="1:17" ht="39" customHeight="1" hidden="1">
      <c r="A197" s="22"/>
      <c r="B197" s="61" t="s">
        <v>264</v>
      </c>
      <c r="C197" s="42" t="s">
        <v>152</v>
      </c>
      <c r="D197" s="42" t="s">
        <v>18</v>
      </c>
      <c r="E197" s="133" t="s">
        <v>265</v>
      </c>
      <c r="F197" s="42"/>
      <c r="G197" s="47">
        <f t="shared" si="29"/>
        <v>214.6</v>
      </c>
      <c r="H197" s="47">
        <f t="shared" si="29"/>
        <v>214.6</v>
      </c>
      <c r="I197" s="48">
        <f t="shared" si="29"/>
        <v>214.6</v>
      </c>
      <c r="J197" s="28">
        <f t="shared" si="30"/>
        <v>0</v>
      </c>
      <c r="K197" s="48">
        <f>K198</f>
        <v>214.6</v>
      </c>
      <c r="L197" s="84">
        <f>L198</f>
        <v>128.2</v>
      </c>
      <c r="M197" s="84"/>
      <c r="N197" s="13">
        <f t="shared" si="28"/>
        <v>128.2</v>
      </c>
      <c r="O197" s="84">
        <f>O198</f>
        <v>128.2</v>
      </c>
      <c r="P197" s="84">
        <f>P198</f>
        <v>0</v>
      </c>
      <c r="Q197" s="13">
        <f t="shared" si="25"/>
        <v>128.2</v>
      </c>
    </row>
    <row r="198" spans="1:17" ht="0.75" customHeight="1" hidden="1">
      <c r="A198" s="22"/>
      <c r="B198" s="61" t="s">
        <v>266</v>
      </c>
      <c r="C198" s="42" t="s">
        <v>152</v>
      </c>
      <c r="D198" s="42" t="s">
        <v>18</v>
      </c>
      <c r="E198" s="133" t="s">
        <v>267</v>
      </c>
      <c r="F198" s="42" t="s">
        <v>247</v>
      </c>
      <c r="G198" s="47">
        <f>40+174.6</f>
        <v>214.6</v>
      </c>
      <c r="H198" s="47">
        <f>40+174.6</f>
        <v>214.6</v>
      </c>
      <c r="I198" s="48">
        <f>40+174.6</f>
        <v>214.6</v>
      </c>
      <c r="J198" s="28">
        <f t="shared" si="30"/>
        <v>0</v>
      </c>
      <c r="K198" s="48">
        <f>40+174.6</f>
        <v>214.6</v>
      </c>
      <c r="L198" s="84">
        <v>128.2</v>
      </c>
      <c r="M198" s="84"/>
      <c r="N198" s="13">
        <f t="shared" si="28"/>
        <v>128.2</v>
      </c>
      <c r="O198" s="84">
        <v>128.2</v>
      </c>
      <c r="P198" s="13">
        <v>0</v>
      </c>
      <c r="Q198" s="13">
        <f t="shared" si="25"/>
        <v>128.2</v>
      </c>
    </row>
    <row r="199" spans="1:17" ht="15" customHeight="1">
      <c r="A199" s="22"/>
      <c r="B199" s="23" t="s">
        <v>268</v>
      </c>
      <c r="C199" s="57" t="s">
        <v>88</v>
      </c>
      <c r="D199" s="57"/>
      <c r="E199" s="43"/>
      <c r="F199" s="42"/>
      <c r="G199" s="59" t="e">
        <f>G200+G204</f>
        <v>#REF!</v>
      </c>
      <c r="H199" s="59" t="e">
        <f>H200+H204</f>
        <v>#REF!</v>
      </c>
      <c r="I199" s="65" t="e">
        <f>I204+I211+I200</f>
        <v>#REF!</v>
      </c>
      <c r="J199" s="20" t="e">
        <f t="shared" si="30"/>
        <v>#REF!</v>
      </c>
      <c r="K199" s="65" t="e">
        <f>K204+K211+K200</f>
        <v>#REF!</v>
      </c>
      <c r="L199" s="21">
        <f>L200+L204+L211</f>
        <v>1134.4</v>
      </c>
      <c r="M199" s="21">
        <f>M200+M204+M211</f>
        <v>15</v>
      </c>
      <c r="N199" s="21">
        <f t="shared" si="28"/>
        <v>1149.4</v>
      </c>
      <c r="O199" s="13">
        <f aca="true" t="shared" si="31" ref="O199:O206">L199+M199</f>
        <v>1149.4</v>
      </c>
      <c r="P199" s="165">
        <f>P200+P204+P211</f>
        <v>260</v>
      </c>
      <c r="Q199" s="13">
        <f t="shared" si="25"/>
        <v>1409.4</v>
      </c>
    </row>
    <row r="200" spans="1:17" ht="20.25" customHeight="1" hidden="1">
      <c r="A200" s="22"/>
      <c r="B200" s="23" t="s">
        <v>269</v>
      </c>
      <c r="C200" s="57" t="s">
        <v>88</v>
      </c>
      <c r="D200" s="57" t="s">
        <v>18</v>
      </c>
      <c r="E200" s="58"/>
      <c r="F200" s="57"/>
      <c r="G200" s="44">
        <f aca="true" t="shared" si="32" ref="G200:I202">G201</f>
        <v>511</v>
      </c>
      <c r="H200" s="44">
        <f t="shared" si="32"/>
        <v>511</v>
      </c>
      <c r="I200" s="120">
        <f t="shared" si="32"/>
        <v>511</v>
      </c>
      <c r="J200" s="28">
        <f t="shared" si="30"/>
        <v>0</v>
      </c>
      <c r="K200" s="120">
        <f>K201</f>
        <v>511</v>
      </c>
      <c r="L200" s="21">
        <f>L202</f>
        <v>536.7</v>
      </c>
      <c r="M200" s="21">
        <f>M202</f>
        <v>15</v>
      </c>
      <c r="N200" s="21">
        <f t="shared" si="28"/>
        <v>551.7</v>
      </c>
      <c r="O200" s="13">
        <f t="shared" si="31"/>
        <v>551.7</v>
      </c>
      <c r="P200" s="13">
        <f>P201</f>
        <v>0</v>
      </c>
      <c r="Q200" s="13">
        <f t="shared" si="25"/>
        <v>551.7</v>
      </c>
    </row>
    <row r="201" spans="1:17" ht="48" customHeight="1" hidden="1">
      <c r="A201" s="22"/>
      <c r="B201" s="23" t="s">
        <v>52</v>
      </c>
      <c r="C201" s="57" t="s">
        <v>88</v>
      </c>
      <c r="D201" s="57" t="s">
        <v>18</v>
      </c>
      <c r="E201" s="58" t="s">
        <v>18</v>
      </c>
      <c r="F201" s="42"/>
      <c r="G201" s="44">
        <f t="shared" si="32"/>
        <v>511</v>
      </c>
      <c r="H201" s="44">
        <f t="shared" si="32"/>
        <v>511</v>
      </c>
      <c r="I201" s="120">
        <f t="shared" si="32"/>
        <v>511</v>
      </c>
      <c r="J201" s="28">
        <f t="shared" si="30"/>
        <v>0</v>
      </c>
      <c r="K201" s="120">
        <f>K202</f>
        <v>511</v>
      </c>
      <c r="L201" s="21">
        <f>L202</f>
        <v>536.7</v>
      </c>
      <c r="M201" s="21">
        <f>M202</f>
        <v>15</v>
      </c>
      <c r="N201" s="21">
        <f t="shared" si="28"/>
        <v>551.7</v>
      </c>
      <c r="O201" s="13">
        <f t="shared" si="31"/>
        <v>551.7</v>
      </c>
      <c r="P201" s="13">
        <f>P202</f>
        <v>0</v>
      </c>
      <c r="Q201" s="13">
        <f t="shared" si="25"/>
        <v>551.7</v>
      </c>
    </row>
    <row r="202" spans="1:17" ht="30.75" customHeight="1" hidden="1">
      <c r="A202" s="22"/>
      <c r="B202" s="49" t="s">
        <v>316</v>
      </c>
      <c r="C202" s="42" t="s">
        <v>88</v>
      </c>
      <c r="D202" s="42" t="s">
        <v>18</v>
      </c>
      <c r="E202" s="43" t="s">
        <v>270</v>
      </c>
      <c r="F202" s="42"/>
      <c r="G202" s="44">
        <f t="shared" si="32"/>
        <v>511</v>
      </c>
      <c r="H202" s="44">
        <f t="shared" si="32"/>
        <v>511</v>
      </c>
      <c r="I202" s="120">
        <f t="shared" si="32"/>
        <v>511</v>
      </c>
      <c r="J202" s="28">
        <f t="shared" si="30"/>
        <v>0</v>
      </c>
      <c r="K202" s="120">
        <f>K203</f>
        <v>511</v>
      </c>
      <c r="L202" s="34">
        <f>L203</f>
        <v>536.7</v>
      </c>
      <c r="M202" s="34">
        <f>M203</f>
        <v>15</v>
      </c>
      <c r="N202" s="21">
        <f t="shared" si="28"/>
        <v>551.7</v>
      </c>
      <c r="O202" s="13">
        <f t="shared" si="31"/>
        <v>551.7</v>
      </c>
      <c r="P202" s="13">
        <f>P203</f>
        <v>0</v>
      </c>
      <c r="Q202" s="13">
        <f t="shared" si="25"/>
        <v>551.7</v>
      </c>
    </row>
    <row r="203" spans="1:17" ht="36" customHeight="1" hidden="1">
      <c r="A203" s="22"/>
      <c r="B203" s="49" t="s">
        <v>271</v>
      </c>
      <c r="C203" s="42" t="s">
        <v>88</v>
      </c>
      <c r="D203" s="42" t="s">
        <v>18</v>
      </c>
      <c r="E203" s="43" t="s">
        <v>272</v>
      </c>
      <c r="F203" s="42" t="s">
        <v>273</v>
      </c>
      <c r="G203" s="47">
        <v>511</v>
      </c>
      <c r="H203" s="47">
        <v>511</v>
      </c>
      <c r="I203" s="120">
        <v>511</v>
      </c>
      <c r="J203" s="28">
        <f t="shared" si="30"/>
        <v>0</v>
      </c>
      <c r="K203" s="120">
        <v>511</v>
      </c>
      <c r="L203" s="34">
        <v>536.7</v>
      </c>
      <c r="M203" s="34">
        <v>15</v>
      </c>
      <c r="N203" s="21">
        <f t="shared" si="28"/>
        <v>551.7</v>
      </c>
      <c r="O203" s="13">
        <f t="shared" si="31"/>
        <v>551.7</v>
      </c>
      <c r="P203" s="142">
        <f>-135+135</f>
        <v>0</v>
      </c>
      <c r="Q203" s="13">
        <f t="shared" si="25"/>
        <v>551.7</v>
      </c>
    </row>
    <row r="204" spans="1:17" ht="15.75" hidden="1">
      <c r="A204" s="22"/>
      <c r="B204" s="23" t="s">
        <v>274</v>
      </c>
      <c r="C204" s="57" t="s">
        <v>88</v>
      </c>
      <c r="D204" s="57" t="s">
        <v>29</v>
      </c>
      <c r="E204" s="58"/>
      <c r="F204" s="57"/>
      <c r="G204" s="59" t="e">
        <f>#REF!+G205+#REF!</f>
        <v>#REF!</v>
      </c>
      <c r="H204" s="59" t="e">
        <f>#REF!+H205+#REF!</f>
        <v>#REF!</v>
      </c>
      <c r="I204" s="65" t="e">
        <f>#REF!+#REF!+I205</f>
        <v>#REF!</v>
      </c>
      <c r="J204" s="20" t="e">
        <f t="shared" si="30"/>
        <v>#REF!</v>
      </c>
      <c r="K204" s="65" t="e">
        <f>#REF!+#REF!+K205</f>
        <v>#REF!</v>
      </c>
      <c r="L204" s="21">
        <f>L206</f>
        <v>298.5</v>
      </c>
      <c r="M204" s="21">
        <v>0</v>
      </c>
      <c r="N204" s="21">
        <f t="shared" si="28"/>
        <v>298.5</v>
      </c>
      <c r="O204" s="13">
        <f t="shared" si="31"/>
        <v>298.5</v>
      </c>
      <c r="P204" s="13">
        <f>P205</f>
        <v>0</v>
      </c>
      <c r="Q204" s="13">
        <f t="shared" si="25"/>
        <v>298.5</v>
      </c>
    </row>
    <row r="205" spans="1:17" ht="18.75" customHeight="1" hidden="1">
      <c r="A205" s="22"/>
      <c r="B205" s="61" t="s">
        <v>35</v>
      </c>
      <c r="C205" s="42" t="s">
        <v>88</v>
      </c>
      <c r="D205" s="42" t="s">
        <v>29</v>
      </c>
      <c r="E205" s="43" t="s">
        <v>22</v>
      </c>
      <c r="F205" s="42"/>
      <c r="G205" s="44">
        <f>G206</f>
        <v>30.7</v>
      </c>
      <c r="H205" s="44">
        <f>H206</f>
        <v>30.7</v>
      </c>
      <c r="I205" s="48">
        <f>I206</f>
        <v>30.7</v>
      </c>
      <c r="J205" s="28">
        <f t="shared" si="30"/>
        <v>0</v>
      </c>
      <c r="K205" s="48">
        <f>K206</f>
        <v>30</v>
      </c>
      <c r="L205" s="21">
        <f>L206</f>
        <v>298.5</v>
      </c>
      <c r="M205" s="21">
        <f>M206</f>
        <v>0</v>
      </c>
      <c r="N205" s="21">
        <f t="shared" si="28"/>
        <v>298.5</v>
      </c>
      <c r="O205" s="13">
        <f t="shared" si="31"/>
        <v>298.5</v>
      </c>
      <c r="P205" s="13">
        <f>P206</f>
        <v>0</v>
      </c>
      <c r="Q205" s="13">
        <f t="shared" si="25"/>
        <v>298.5</v>
      </c>
    </row>
    <row r="206" spans="1:17" ht="21.75" customHeight="1" hidden="1">
      <c r="A206" s="22"/>
      <c r="B206" s="61" t="s">
        <v>23</v>
      </c>
      <c r="C206" s="42" t="s">
        <v>88</v>
      </c>
      <c r="D206" s="42" t="s">
        <v>29</v>
      </c>
      <c r="E206" s="43" t="s">
        <v>37</v>
      </c>
      <c r="F206" s="42"/>
      <c r="G206" s="44">
        <f>SUM(G207:G210)</f>
        <v>30.7</v>
      </c>
      <c r="H206" s="44">
        <f>SUM(H207:H210)</f>
        <v>30.7</v>
      </c>
      <c r="I206" s="48">
        <f>SUM(I207:I210)</f>
        <v>30.7</v>
      </c>
      <c r="J206" s="28">
        <f t="shared" si="30"/>
        <v>0</v>
      </c>
      <c r="K206" s="48">
        <f>SUM(K207:K210)</f>
        <v>30</v>
      </c>
      <c r="L206" s="34">
        <f>L207+L208+L210</f>
        <v>298.5</v>
      </c>
      <c r="M206" s="34">
        <f>M207+M208+M210</f>
        <v>0</v>
      </c>
      <c r="N206" s="21">
        <f t="shared" si="28"/>
        <v>298.5</v>
      </c>
      <c r="O206" s="13">
        <f t="shared" si="31"/>
        <v>298.5</v>
      </c>
      <c r="P206" s="34">
        <f>P207+P208+P210</f>
        <v>0</v>
      </c>
      <c r="Q206" s="13">
        <f t="shared" si="25"/>
        <v>298.5</v>
      </c>
    </row>
    <row r="207" spans="1:17" ht="36.75" customHeight="1" hidden="1">
      <c r="A207" s="22"/>
      <c r="B207" s="29" t="s">
        <v>275</v>
      </c>
      <c r="C207" s="42" t="s">
        <v>88</v>
      </c>
      <c r="D207" s="42" t="s">
        <v>29</v>
      </c>
      <c r="E207" s="124" t="s">
        <v>276</v>
      </c>
      <c r="F207" s="42" t="s">
        <v>97</v>
      </c>
      <c r="G207" s="47">
        <v>0</v>
      </c>
      <c r="H207" s="47">
        <v>0</v>
      </c>
      <c r="I207" s="48">
        <v>0</v>
      </c>
      <c r="J207" s="28">
        <f t="shared" si="30"/>
        <v>0</v>
      </c>
      <c r="K207" s="48">
        <v>0</v>
      </c>
      <c r="L207" s="34">
        <v>172</v>
      </c>
      <c r="M207" s="34">
        <v>0</v>
      </c>
      <c r="N207" s="13">
        <f t="shared" si="28"/>
        <v>172</v>
      </c>
      <c r="O207" s="13"/>
      <c r="P207" s="13"/>
      <c r="Q207" s="13"/>
    </row>
    <row r="208" spans="1:17" ht="59.25" customHeight="1" hidden="1">
      <c r="A208" s="22"/>
      <c r="B208" s="29" t="s">
        <v>277</v>
      </c>
      <c r="C208" s="42" t="s">
        <v>88</v>
      </c>
      <c r="D208" s="42" t="s">
        <v>29</v>
      </c>
      <c r="E208" s="43" t="s">
        <v>278</v>
      </c>
      <c r="F208" s="42" t="s">
        <v>273</v>
      </c>
      <c r="G208" s="47">
        <v>0.7</v>
      </c>
      <c r="H208" s="47">
        <v>0.7</v>
      </c>
      <c r="I208" s="48">
        <v>0.7</v>
      </c>
      <c r="J208" s="28">
        <f t="shared" si="30"/>
        <v>0</v>
      </c>
      <c r="K208" s="48">
        <f>0.7-0.7</f>
        <v>0</v>
      </c>
      <c r="L208" s="34">
        <f>0.5+0.1</f>
        <v>0.6</v>
      </c>
      <c r="M208" s="119">
        <f>M209</f>
        <v>-0.07368000000000001</v>
      </c>
      <c r="N208" s="13">
        <f t="shared" si="28"/>
        <v>0.52632</v>
      </c>
      <c r="O208" s="13">
        <f>L208+M208</f>
        <v>0.52632</v>
      </c>
      <c r="P208" s="13">
        <v>0</v>
      </c>
      <c r="Q208" s="13">
        <f aca="true" t="shared" si="33" ref="Q208:Q222">O208+P208</f>
        <v>0.52632</v>
      </c>
    </row>
    <row r="209" spans="1:17" ht="22.5" customHeight="1" hidden="1">
      <c r="A209" s="22"/>
      <c r="B209" s="134" t="s">
        <v>178</v>
      </c>
      <c r="C209" s="42" t="s">
        <v>88</v>
      </c>
      <c r="D209" s="42" t="s">
        <v>29</v>
      </c>
      <c r="E209" s="43" t="s">
        <v>278</v>
      </c>
      <c r="F209" s="42" t="s">
        <v>273</v>
      </c>
      <c r="G209" s="132"/>
      <c r="H209" s="132"/>
      <c r="I209" s="63"/>
      <c r="J209" s="28"/>
      <c r="K209" s="63"/>
      <c r="L209" s="34">
        <v>0.1</v>
      </c>
      <c r="M209" s="119">
        <v>-0.07368000000000001</v>
      </c>
      <c r="N209" s="13">
        <f t="shared" si="28"/>
        <v>0.026319999999999996</v>
      </c>
      <c r="O209" s="13">
        <f>L209+M209</f>
        <v>0.026319999999999996</v>
      </c>
      <c r="P209" s="13">
        <v>0</v>
      </c>
      <c r="Q209" s="13">
        <f t="shared" si="33"/>
        <v>0.026319999999999996</v>
      </c>
    </row>
    <row r="210" spans="1:24" ht="34.5" customHeight="1" hidden="1">
      <c r="A210" s="22"/>
      <c r="B210" s="61" t="s">
        <v>279</v>
      </c>
      <c r="C210" s="147" t="s">
        <v>88</v>
      </c>
      <c r="D210" s="42" t="s">
        <v>29</v>
      </c>
      <c r="E210" s="43" t="s">
        <v>280</v>
      </c>
      <c r="F210" s="42" t="s">
        <v>273</v>
      </c>
      <c r="G210" s="132">
        <v>30</v>
      </c>
      <c r="H210" s="132">
        <v>30</v>
      </c>
      <c r="I210" s="63">
        <v>30</v>
      </c>
      <c r="J210" s="28">
        <f aca="true" t="shared" si="34" ref="J210:J219">I210-H210</f>
        <v>0</v>
      </c>
      <c r="K210" s="63">
        <v>30</v>
      </c>
      <c r="L210" s="34">
        <v>125.9</v>
      </c>
      <c r="M210" s="119">
        <v>0.07368000000000001</v>
      </c>
      <c r="N210" s="13">
        <f t="shared" si="28"/>
        <v>125.97368</v>
      </c>
      <c r="O210" s="13">
        <f>L210+M210</f>
        <v>125.97368</v>
      </c>
      <c r="P210" s="142">
        <f>-125+125</f>
        <v>0</v>
      </c>
      <c r="Q210" s="13">
        <f t="shared" si="33"/>
        <v>125.97368</v>
      </c>
      <c r="X210" s="78"/>
    </row>
    <row r="211" spans="1:17" ht="21.75" customHeight="1">
      <c r="A211" s="22"/>
      <c r="B211" s="157" t="s">
        <v>281</v>
      </c>
      <c r="C211" s="145" t="s">
        <v>88</v>
      </c>
      <c r="D211" s="57" t="s">
        <v>34</v>
      </c>
      <c r="E211" s="58"/>
      <c r="F211" s="57"/>
      <c r="G211" s="129"/>
      <c r="H211" s="129"/>
      <c r="I211" s="130">
        <f>I212</f>
        <v>285</v>
      </c>
      <c r="J211" s="28">
        <f t="shared" si="34"/>
        <v>285</v>
      </c>
      <c r="K211" s="130">
        <f aca="true" t="shared" si="35" ref="K211:L213">K212</f>
        <v>285</v>
      </c>
      <c r="L211" s="21">
        <f t="shared" si="35"/>
        <v>299.2</v>
      </c>
      <c r="M211" s="21">
        <v>0</v>
      </c>
      <c r="N211" s="13">
        <f t="shared" si="28"/>
        <v>299.2</v>
      </c>
      <c r="O211" s="21">
        <f aca="true" t="shared" si="36" ref="O211:P213">O212</f>
        <v>299.2</v>
      </c>
      <c r="P211" s="13">
        <f t="shared" si="36"/>
        <v>260</v>
      </c>
      <c r="Q211" s="13">
        <f t="shared" si="33"/>
        <v>559.2</v>
      </c>
    </row>
    <row r="212" spans="1:17" ht="60.75" customHeight="1">
      <c r="A212" s="22"/>
      <c r="B212" s="37" t="s">
        <v>282</v>
      </c>
      <c r="C212" s="145" t="s">
        <v>88</v>
      </c>
      <c r="D212" s="57" t="s">
        <v>34</v>
      </c>
      <c r="E212" s="58" t="s">
        <v>283</v>
      </c>
      <c r="F212" s="42"/>
      <c r="G212" s="132"/>
      <c r="H212" s="132"/>
      <c r="I212" s="63">
        <f>I213</f>
        <v>285</v>
      </c>
      <c r="J212" s="28">
        <f t="shared" si="34"/>
        <v>285</v>
      </c>
      <c r="K212" s="63">
        <f t="shared" si="35"/>
        <v>285</v>
      </c>
      <c r="L212" s="21">
        <f t="shared" si="35"/>
        <v>299.2</v>
      </c>
      <c r="M212" s="21">
        <v>0</v>
      </c>
      <c r="N212" s="13">
        <f t="shared" si="28"/>
        <v>299.2</v>
      </c>
      <c r="O212" s="21">
        <f t="shared" si="36"/>
        <v>299.2</v>
      </c>
      <c r="P212" s="13">
        <f t="shared" si="36"/>
        <v>260</v>
      </c>
      <c r="Q212" s="13">
        <f t="shared" si="33"/>
        <v>559.2</v>
      </c>
    </row>
    <row r="213" spans="1:17" ht="37.5" customHeight="1">
      <c r="A213" s="22"/>
      <c r="B213" s="122" t="s">
        <v>284</v>
      </c>
      <c r="C213" s="174" t="s">
        <v>88</v>
      </c>
      <c r="D213" s="52" t="s">
        <v>34</v>
      </c>
      <c r="E213" s="53" t="s">
        <v>285</v>
      </c>
      <c r="F213" s="52"/>
      <c r="G213" s="175"/>
      <c r="H213" s="175"/>
      <c r="I213" s="176">
        <f>I214</f>
        <v>285</v>
      </c>
      <c r="J213" s="177">
        <f t="shared" si="34"/>
        <v>285</v>
      </c>
      <c r="K213" s="176">
        <f t="shared" si="35"/>
        <v>285</v>
      </c>
      <c r="L213" s="178">
        <f t="shared" si="35"/>
        <v>299.2</v>
      </c>
      <c r="M213" s="178">
        <v>0</v>
      </c>
      <c r="N213" s="168">
        <f t="shared" si="28"/>
        <v>299.2</v>
      </c>
      <c r="O213" s="178">
        <f t="shared" si="36"/>
        <v>299.2</v>
      </c>
      <c r="P213" s="168">
        <f t="shared" si="36"/>
        <v>260</v>
      </c>
      <c r="Q213" s="13">
        <f t="shared" si="33"/>
        <v>559.2</v>
      </c>
    </row>
    <row r="214" spans="1:17" ht="52.5" customHeight="1">
      <c r="A214" s="22"/>
      <c r="B214" s="179" t="s">
        <v>286</v>
      </c>
      <c r="C214" s="180" t="s">
        <v>88</v>
      </c>
      <c r="D214" s="180" t="s">
        <v>34</v>
      </c>
      <c r="E214" s="181" t="s">
        <v>287</v>
      </c>
      <c r="F214" s="180" t="s">
        <v>97</v>
      </c>
      <c r="G214" s="182"/>
      <c r="H214" s="182"/>
      <c r="I214" s="183">
        <v>285</v>
      </c>
      <c r="J214" s="184">
        <f t="shared" si="34"/>
        <v>285</v>
      </c>
      <c r="K214" s="183">
        <v>285</v>
      </c>
      <c r="L214" s="185">
        <v>299.2</v>
      </c>
      <c r="M214" s="185">
        <v>0</v>
      </c>
      <c r="N214" s="186">
        <f t="shared" si="28"/>
        <v>299.2</v>
      </c>
      <c r="O214" s="185">
        <v>299.2</v>
      </c>
      <c r="P214" s="186">
        <v>260</v>
      </c>
      <c r="Q214" s="172">
        <f t="shared" si="33"/>
        <v>559.2</v>
      </c>
    </row>
    <row r="215" spans="1:17" ht="24" customHeight="1" hidden="1">
      <c r="A215" s="22"/>
      <c r="B215" s="187" t="s">
        <v>288</v>
      </c>
      <c r="C215" s="188" t="s">
        <v>46</v>
      </c>
      <c r="D215" s="188"/>
      <c r="E215" s="181"/>
      <c r="F215" s="180"/>
      <c r="G215" s="189">
        <f>G216+G223+G230</f>
        <v>9181.7</v>
      </c>
      <c r="H215" s="189">
        <f>H216+H223+H230</f>
        <v>9181.7</v>
      </c>
      <c r="I215" s="190">
        <f>I216+I223+I230</f>
        <v>9181.7</v>
      </c>
      <c r="J215" s="191">
        <f t="shared" si="34"/>
        <v>0</v>
      </c>
      <c r="K215" s="190">
        <f>K216+K223+K230</f>
        <v>9263.1</v>
      </c>
      <c r="L215" s="192">
        <f>L217+L221</f>
        <v>55599.11</v>
      </c>
      <c r="M215" s="192">
        <f>M216+M221</f>
        <v>7268.2</v>
      </c>
      <c r="N215" s="192">
        <f t="shared" si="28"/>
        <v>62867.31</v>
      </c>
      <c r="O215" s="186">
        <f>O216+O221</f>
        <v>62867.31</v>
      </c>
      <c r="P215" s="186">
        <v>0</v>
      </c>
      <c r="Q215" s="172">
        <f t="shared" si="33"/>
        <v>62867.31</v>
      </c>
    </row>
    <row r="216" spans="1:17" ht="21.75" customHeight="1" hidden="1">
      <c r="A216" s="22"/>
      <c r="B216" s="187" t="s">
        <v>289</v>
      </c>
      <c r="C216" s="188" t="s">
        <v>46</v>
      </c>
      <c r="D216" s="188" t="s">
        <v>18</v>
      </c>
      <c r="E216" s="193"/>
      <c r="F216" s="188"/>
      <c r="G216" s="189">
        <f aca="true" t="shared" si="37" ref="G216:I218">G217</f>
        <v>9181.7</v>
      </c>
      <c r="H216" s="189">
        <f t="shared" si="37"/>
        <v>9181.7</v>
      </c>
      <c r="I216" s="194">
        <f t="shared" si="37"/>
        <v>9181.7</v>
      </c>
      <c r="J216" s="184">
        <f t="shared" si="34"/>
        <v>0</v>
      </c>
      <c r="K216" s="194">
        <f>K217+K221</f>
        <v>9263.1</v>
      </c>
      <c r="L216" s="192">
        <f>L217</f>
        <v>7759.11</v>
      </c>
      <c r="M216" s="192">
        <f>M217</f>
        <v>6463.2</v>
      </c>
      <c r="N216" s="192">
        <f t="shared" si="28"/>
        <v>14222.31</v>
      </c>
      <c r="O216" s="186">
        <f aca="true" t="shared" si="38" ref="O216:O222">L216+M216</f>
        <v>14222.31</v>
      </c>
      <c r="P216" s="186">
        <v>0</v>
      </c>
      <c r="Q216" s="172">
        <f t="shared" si="33"/>
        <v>14222.31</v>
      </c>
    </row>
    <row r="217" spans="1:17" ht="63" customHeight="1" hidden="1">
      <c r="A217" s="22"/>
      <c r="B217" s="195" t="s">
        <v>290</v>
      </c>
      <c r="C217" s="188" t="s">
        <v>46</v>
      </c>
      <c r="D217" s="188" t="s">
        <v>18</v>
      </c>
      <c r="E217" s="193" t="s">
        <v>291</v>
      </c>
      <c r="F217" s="188"/>
      <c r="G217" s="189">
        <f t="shared" si="37"/>
        <v>9181.7</v>
      </c>
      <c r="H217" s="189">
        <f t="shared" si="37"/>
        <v>9181.7</v>
      </c>
      <c r="I217" s="194">
        <f t="shared" si="37"/>
        <v>9181.7</v>
      </c>
      <c r="J217" s="184">
        <f t="shared" si="34"/>
        <v>0</v>
      </c>
      <c r="K217" s="194">
        <f>K218</f>
        <v>9263.1</v>
      </c>
      <c r="L217" s="192">
        <f>L218</f>
        <v>7759.11</v>
      </c>
      <c r="M217" s="192">
        <f>M218</f>
        <v>6463.2</v>
      </c>
      <c r="N217" s="192">
        <f t="shared" si="28"/>
        <v>14222.31</v>
      </c>
      <c r="O217" s="186">
        <f t="shared" si="38"/>
        <v>14222.31</v>
      </c>
      <c r="P217" s="186">
        <v>0</v>
      </c>
      <c r="Q217" s="172">
        <f t="shared" si="33"/>
        <v>14222.31</v>
      </c>
    </row>
    <row r="218" spans="1:17" ht="26.25" customHeight="1" hidden="1">
      <c r="A218" s="22"/>
      <c r="B218" s="179" t="s">
        <v>292</v>
      </c>
      <c r="C218" s="180" t="s">
        <v>46</v>
      </c>
      <c r="D218" s="180" t="s">
        <v>18</v>
      </c>
      <c r="E218" s="181" t="s">
        <v>293</v>
      </c>
      <c r="F218" s="180"/>
      <c r="G218" s="196">
        <f t="shared" si="37"/>
        <v>9181.7</v>
      </c>
      <c r="H218" s="196">
        <f t="shared" si="37"/>
        <v>9181.7</v>
      </c>
      <c r="I218" s="197">
        <f t="shared" si="37"/>
        <v>9181.7</v>
      </c>
      <c r="J218" s="184">
        <f t="shared" si="34"/>
        <v>0</v>
      </c>
      <c r="K218" s="197">
        <f>K219</f>
        <v>9263.1</v>
      </c>
      <c r="L218" s="185">
        <f>L219</f>
        <v>7759.11</v>
      </c>
      <c r="M218" s="185">
        <f>M219+M220</f>
        <v>6463.2</v>
      </c>
      <c r="N218" s="192">
        <f t="shared" si="28"/>
        <v>14222.31</v>
      </c>
      <c r="O218" s="186">
        <f t="shared" si="38"/>
        <v>14222.31</v>
      </c>
      <c r="P218" s="186">
        <v>0</v>
      </c>
      <c r="Q218" s="172">
        <f t="shared" si="33"/>
        <v>14222.31</v>
      </c>
    </row>
    <row r="219" spans="1:18" ht="62.25" customHeight="1" hidden="1">
      <c r="A219" s="22"/>
      <c r="B219" s="198" t="s">
        <v>294</v>
      </c>
      <c r="C219" s="180" t="s">
        <v>46</v>
      </c>
      <c r="D219" s="180" t="s">
        <v>18</v>
      </c>
      <c r="E219" s="181" t="s">
        <v>295</v>
      </c>
      <c r="F219" s="180" t="s">
        <v>247</v>
      </c>
      <c r="G219" s="199">
        <v>9181.7</v>
      </c>
      <c r="H219" s="199">
        <v>9181.7</v>
      </c>
      <c r="I219" s="197">
        <v>9181.7</v>
      </c>
      <c r="J219" s="184">
        <f t="shared" si="34"/>
        <v>0</v>
      </c>
      <c r="K219" s="197">
        <f>9181.7+81.4</f>
        <v>9263.1</v>
      </c>
      <c r="L219" s="185">
        <f>7552.21+206.9</f>
        <v>7759.11</v>
      </c>
      <c r="M219" s="185">
        <f>3634.1-805</f>
        <v>2829.1</v>
      </c>
      <c r="N219" s="192">
        <f t="shared" si="28"/>
        <v>10588.21</v>
      </c>
      <c r="O219" s="186">
        <f t="shared" si="38"/>
        <v>10588.21</v>
      </c>
      <c r="P219" s="186">
        <v>0</v>
      </c>
      <c r="Q219" s="172">
        <f t="shared" si="33"/>
        <v>10588.21</v>
      </c>
      <c r="R219">
        <v>-805</v>
      </c>
    </row>
    <row r="220" spans="1:17" ht="110.25" hidden="1">
      <c r="A220" s="22"/>
      <c r="B220" s="198" t="s">
        <v>296</v>
      </c>
      <c r="C220" s="180" t="s">
        <v>46</v>
      </c>
      <c r="D220" s="180" t="s">
        <v>18</v>
      </c>
      <c r="E220" s="200" t="s">
        <v>297</v>
      </c>
      <c r="F220" s="180" t="s">
        <v>247</v>
      </c>
      <c r="G220" s="199"/>
      <c r="H220" s="199"/>
      <c r="I220" s="197"/>
      <c r="J220" s="184"/>
      <c r="K220" s="197"/>
      <c r="L220" s="185">
        <v>0</v>
      </c>
      <c r="M220" s="185">
        <v>3634.1</v>
      </c>
      <c r="N220" s="192">
        <f t="shared" si="28"/>
        <v>3634.1</v>
      </c>
      <c r="O220" s="186">
        <f t="shared" si="38"/>
        <v>3634.1</v>
      </c>
      <c r="P220" s="186">
        <v>0</v>
      </c>
      <c r="Q220" s="172">
        <f t="shared" si="33"/>
        <v>3634.1</v>
      </c>
    </row>
    <row r="221" spans="1:17" ht="22.5" customHeight="1" hidden="1">
      <c r="A221" s="22"/>
      <c r="B221" s="187" t="s">
        <v>298</v>
      </c>
      <c r="C221" s="188">
        <v>11</v>
      </c>
      <c r="D221" s="201" t="s">
        <v>20</v>
      </c>
      <c r="E221" s="202"/>
      <c r="F221" s="201"/>
      <c r="G221" s="203"/>
      <c r="H221" s="203"/>
      <c r="I221" s="194"/>
      <c r="J221" s="184"/>
      <c r="K221" s="194">
        <f>K222</f>
        <v>0</v>
      </c>
      <c r="L221" s="192">
        <f>L222</f>
        <v>47840</v>
      </c>
      <c r="M221" s="192">
        <f>M222</f>
        <v>805</v>
      </c>
      <c r="N221" s="192">
        <f t="shared" si="28"/>
        <v>48645</v>
      </c>
      <c r="O221" s="186">
        <f t="shared" si="38"/>
        <v>48645</v>
      </c>
      <c r="P221" s="186">
        <v>0</v>
      </c>
      <c r="Q221" s="172">
        <f t="shared" si="33"/>
        <v>48645</v>
      </c>
    </row>
    <row r="222" spans="1:17" ht="78.75" hidden="1">
      <c r="A222" s="22"/>
      <c r="B222" s="195" t="s">
        <v>290</v>
      </c>
      <c r="C222" s="188" t="s">
        <v>46</v>
      </c>
      <c r="D222" s="188" t="s">
        <v>20</v>
      </c>
      <c r="E222" s="193" t="s">
        <v>291</v>
      </c>
      <c r="F222" s="201"/>
      <c r="G222" s="203"/>
      <c r="H222" s="203"/>
      <c r="I222" s="194"/>
      <c r="J222" s="184"/>
      <c r="K222" s="194"/>
      <c r="L222" s="192">
        <f>L223</f>
        <v>47840</v>
      </c>
      <c r="M222" s="192">
        <f>M226</f>
        <v>805</v>
      </c>
      <c r="N222" s="192">
        <f t="shared" si="28"/>
        <v>48645</v>
      </c>
      <c r="O222" s="186">
        <f t="shared" si="38"/>
        <v>48645</v>
      </c>
      <c r="P222" s="186">
        <v>0</v>
      </c>
      <c r="Q222" s="172">
        <f t="shared" si="33"/>
        <v>48645</v>
      </c>
    </row>
    <row r="223" spans="1:17" ht="32.25" customHeight="1" hidden="1">
      <c r="A223" s="22"/>
      <c r="B223" s="204" t="s">
        <v>299</v>
      </c>
      <c r="C223" s="180" t="s">
        <v>46</v>
      </c>
      <c r="D223" s="180" t="s">
        <v>20</v>
      </c>
      <c r="E223" s="181" t="s">
        <v>300</v>
      </c>
      <c r="F223" s="180"/>
      <c r="G223" s="199"/>
      <c r="H223" s="199"/>
      <c r="I223" s="205"/>
      <c r="J223" s="206"/>
      <c r="K223" s="205"/>
      <c r="L223" s="185">
        <f>L224</f>
        <v>47840</v>
      </c>
      <c r="M223" s="185"/>
      <c r="N223" s="192">
        <f t="shared" si="28"/>
        <v>47840</v>
      </c>
      <c r="O223" s="192"/>
      <c r="P223" s="192"/>
      <c r="Q223" s="173"/>
    </row>
    <row r="224" spans="1:17" ht="46.5" customHeight="1" hidden="1">
      <c r="A224" s="22"/>
      <c r="B224" s="207" t="s">
        <v>301</v>
      </c>
      <c r="C224" s="180" t="s">
        <v>46</v>
      </c>
      <c r="D224" s="180" t="s">
        <v>20</v>
      </c>
      <c r="E224" s="181" t="s">
        <v>302</v>
      </c>
      <c r="F224" s="180" t="s">
        <v>190</v>
      </c>
      <c r="G224" s="199"/>
      <c r="H224" s="199"/>
      <c r="I224" s="205"/>
      <c r="J224" s="191"/>
      <c r="K224" s="205"/>
      <c r="L224" s="185">
        <f>38750+9090</f>
        <v>47840</v>
      </c>
      <c r="M224" s="185"/>
      <c r="N224" s="192">
        <f t="shared" si="28"/>
        <v>47840</v>
      </c>
      <c r="O224" s="192"/>
      <c r="P224" s="192"/>
      <c r="Q224" s="173"/>
    </row>
    <row r="225" spans="1:17" ht="24.75" customHeight="1" hidden="1">
      <c r="A225" s="22"/>
      <c r="B225" s="208" t="s">
        <v>178</v>
      </c>
      <c r="C225" s="180" t="s">
        <v>46</v>
      </c>
      <c r="D225" s="180" t="s">
        <v>20</v>
      </c>
      <c r="E225" s="181" t="s">
        <v>302</v>
      </c>
      <c r="F225" s="180" t="s">
        <v>190</v>
      </c>
      <c r="G225" s="199"/>
      <c r="H225" s="199"/>
      <c r="I225" s="205"/>
      <c r="J225" s="191"/>
      <c r="K225" s="205"/>
      <c r="L225" s="185">
        <v>9090</v>
      </c>
      <c r="M225" s="185"/>
      <c r="N225" s="192">
        <f t="shared" si="28"/>
        <v>9090</v>
      </c>
      <c r="O225" s="192"/>
      <c r="P225" s="192"/>
      <c r="Q225" s="173"/>
    </row>
    <row r="226" spans="1:18" ht="24.75" customHeight="1" hidden="1">
      <c r="A226" s="22"/>
      <c r="B226" s="209" t="s">
        <v>303</v>
      </c>
      <c r="C226" s="180" t="s">
        <v>46</v>
      </c>
      <c r="D226" s="180" t="s">
        <v>20</v>
      </c>
      <c r="E226" s="181" t="s">
        <v>304</v>
      </c>
      <c r="F226" s="180"/>
      <c r="G226" s="199"/>
      <c r="H226" s="199"/>
      <c r="I226" s="205"/>
      <c r="J226" s="191"/>
      <c r="K226" s="205"/>
      <c r="L226" s="185">
        <v>0</v>
      </c>
      <c r="M226" s="185">
        <f>M227</f>
        <v>805</v>
      </c>
      <c r="N226" s="192">
        <f t="shared" si="28"/>
        <v>805</v>
      </c>
      <c r="O226" s="186">
        <f>L226+M226</f>
        <v>805</v>
      </c>
      <c r="P226" s="186">
        <v>0</v>
      </c>
      <c r="Q226" s="172">
        <f>O226+P226</f>
        <v>805</v>
      </c>
      <c r="R226" t="s">
        <v>305</v>
      </c>
    </row>
    <row r="227" spans="1:17" ht="47.25" customHeight="1" hidden="1">
      <c r="A227" s="22"/>
      <c r="B227" s="210" t="s">
        <v>306</v>
      </c>
      <c r="C227" s="180" t="s">
        <v>46</v>
      </c>
      <c r="D227" s="180" t="s">
        <v>20</v>
      </c>
      <c r="E227" s="181" t="s">
        <v>307</v>
      </c>
      <c r="F227" s="180" t="s">
        <v>190</v>
      </c>
      <c r="G227" s="199"/>
      <c r="H227" s="199"/>
      <c r="I227" s="205"/>
      <c r="J227" s="191"/>
      <c r="K227" s="205"/>
      <c r="L227" s="185">
        <v>0</v>
      </c>
      <c r="M227" s="185">
        <v>805</v>
      </c>
      <c r="N227" s="192">
        <f t="shared" si="28"/>
        <v>805</v>
      </c>
      <c r="O227" s="186">
        <f>L227+M227</f>
        <v>805</v>
      </c>
      <c r="P227" s="186">
        <v>0</v>
      </c>
      <c r="Q227" s="172">
        <f>O227+P227</f>
        <v>805</v>
      </c>
    </row>
    <row r="228" spans="1:17" ht="31.5" hidden="1">
      <c r="A228" s="158">
        <v>708</v>
      </c>
      <c r="B228" s="211" t="s">
        <v>308</v>
      </c>
      <c r="C228" s="212"/>
      <c r="D228" s="212"/>
      <c r="E228" s="213"/>
      <c r="F228" s="212"/>
      <c r="G228" s="214"/>
      <c r="H228" s="214"/>
      <c r="I228" s="205"/>
      <c r="J228" s="215"/>
      <c r="K228" s="205"/>
      <c r="L228" s="192">
        <f>L229</f>
        <v>1132</v>
      </c>
      <c r="M228" s="192"/>
      <c r="N228" s="186">
        <f t="shared" si="28"/>
        <v>1132</v>
      </c>
      <c r="O228" s="186"/>
      <c r="P228" s="186"/>
      <c r="Q228" s="172"/>
    </row>
    <row r="229" spans="1:17" ht="15.75" hidden="1">
      <c r="A229" s="22"/>
      <c r="B229" s="216" t="s">
        <v>17</v>
      </c>
      <c r="C229" s="212" t="s">
        <v>18</v>
      </c>
      <c r="D229" s="212"/>
      <c r="E229" s="200"/>
      <c r="F229" s="212"/>
      <c r="G229" s="214"/>
      <c r="H229" s="214"/>
      <c r="I229" s="205"/>
      <c r="J229" s="191"/>
      <c r="K229" s="205"/>
      <c r="L229" s="185">
        <f>L230</f>
        <v>1132</v>
      </c>
      <c r="M229" s="185"/>
      <c r="N229" s="186">
        <f t="shared" si="28"/>
        <v>1132</v>
      </c>
      <c r="O229" s="186"/>
      <c r="P229" s="186"/>
      <c r="Q229" s="172"/>
    </row>
    <row r="230" spans="1:17" ht="31.5" hidden="1">
      <c r="A230" s="22"/>
      <c r="B230" s="217" t="s">
        <v>309</v>
      </c>
      <c r="C230" s="180" t="s">
        <v>18</v>
      </c>
      <c r="D230" s="180" t="s">
        <v>120</v>
      </c>
      <c r="E230" s="213"/>
      <c r="F230" s="180"/>
      <c r="G230" s="199"/>
      <c r="H230" s="199"/>
      <c r="I230" s="197"/>
      <c r="J230" s="218"/>
      <c r="K230" s="197"/>
      <c r="L230" s="185">
        <f>L231</f>
        <v>1132</v>
      </c>
      <c r="M230" s="185"/>
      <c r="N230" s="186">
        <f t="shared" si="28"/>
        <v>1132</v>
      </c>
      <c r="O230" s="186"/>
      <c r="P230" s="186"/>
      <c r="Q230" s="172"/>
    </row>
    <row r="231" spans="1:17" ht="15.75" hidden="1">
      <c r="A231" s="22"/>
      <c r="B231" s="217" t="s">
        <v>21</v>
      </c>
      <c r="C231" s="180" t="s">
        <v>18</v>
      </c>
      <c r="D231" s="219" t="s">
        <v>120</v>
      </c>
      <c r="E231" s="220" t="s">
        <v>22</v>
      </c>
      <c r="F231" s="219"/>
      <c r="G231" s="196"/>
      <c r="H231" s="196"/>
      <c r="I231" s="197"/>
      <c r="J231" s="218"/>
      <c r="K231" s="197"/>
      <c r="L231" s="185">
        <f>L232</f>
        <v>1132</v>
      </c>
      <c r="M231" s="185"/>
      <c r="N231" s="186">
        <f t="shared" si="28"/>
        <v>1132</v>
      </c>
      <c r="O231" s="186"/>
      <c r="P231" s="186"/>
      <c r="Q231" s="172"/>
    </row>
    <row r="232" spans="1:17" ht="15.75" hidden="1">
      <c r="A232" s="22"/>
      <c r="B232" s="217" t="s">
        <v>23</v>
      </c>
      <c r="C232" s="180" t="s">
        <v>310</v>
      </c>
      <c r="D232" s="219" t="s">
        <v>120</v>
      </c>
      <c r="E232" s="220" t="s">
        <v>37</v>
      </c>
      <c r="F232" s="219"/>
      <c r="G232" s="196"/>
      <c r="H232" s="196"/>
      <c r="I232" s="197"/>
      <c r="J232" s="218"/>
      <c r="K232" s="197"/>
      <c r="L232" s="185">
        <f>L233</f>
        <v>1132</v>
      </c>
      <c r="M232" s="185"/>
      <c r="N232" s="186">
        <f t="shared" si="28"/>
        <v>1132</v>
      </c>
      <c r="O232" s="186"/>
      <c r="P232" s="186"/>
      <c r="Q232" s="172"/>
    </row>
    <row r="233" spans="1:17" ht="63" hidden="1">
      <c r="A233" s="170"/>
      <c r="B233" s="217" t="s">
        <v>311</v>
      </c>
      <c r="C233" s="180" t="s">
        <v>18</v>
      </c>
      <c r="D233" s="219" t="s">
        <v>120</v>
      </c>
      <c r="E233" s="220" t="s">
        <v>312</v>
      </c>
      <c r="F233" s="219" t="s">
        <v>44</v>
      </c>
      <c r="G233" s="196"/>
      <c r="H233" s="196"/>
      <c r="I233" s="197"/>
      <c r="J233" s="218"/>
      <c r="K233" s="197"/>
      <c r="L233" s="185">
        <v>1132</v>
      </c>
      <c r="M233" s="185"/>
      <c r="N233" s="186">
        <f t="shared" si="28"/>
        <v>1132</v>
      </c>
      <c r="O233" s="186"/>
      <c r="P233" s="186"/>
      <c r="Q233" s="172"/>
    </row>
    <row r="234" spans="1:17" ht="24" customHeight="1">
      <c r="A234" s="171"/>
      <c r="B234" s="221" t="s">
        <v>313</v>
      </c>
      <c r="C234" s="221"/>
      <c r="D234" s="221"/>
      <c r="E234" s="221"/>
      <c r="F234" s="221"/>
      <c r="G234" s="222"/>
      <c r="H234" s="222"/>
      <c r="I234" s="223"/>
      <c r="J234" s="222"/>
      <c r="K234" s="222"/>
      <c r="L234" s="224" t="e">
        <f>L10+L228</f>
        <v>#REF!</v>
      </c>
      <c r="M234" s="225" t="e">
        <f>M10+M228</f>
        <v>#REF!</v>
      </c>
      <c r="N234" s="186" t="e">
        <f t="shared" si="28"/>
        <v>#REF!</v>
      </c>
      <c r="O234" s="186" t="e">
        <f>L234+M234</f>
        <v>#REF!</v>
      </c>
      <c r="P234" s="186">
        <f>P228+P10</f>
        <v>81909.09923999998</v>
      </c>
      <c r="Q234" s="172" t="e">
        <f>O234+P234</f>
        <v>#REF!</v>
      </c>
    </row>
    <row r="235" spans="12:17" ht="15">
      <c r="L235" s="159"/>
      <c r="M235" s="159"/>
      <c r="N235" s="160"/>
      <c r="O235" s="160"/>
      <c r="P235" s="160"/>
      <c r="Q235" s="160"/>
    </row>
    <row r="236" spans="12:17" ht="15">
      <c r="L236" s="159"/>
      <c r="M236" s="159"/>
      <c r="N236" s="160"/>
      <c r="O236" s="160"/>
      <c r="P236" s="160"/>
      <c r="Q236" s="160"/>
    </row>
    <row r="237" spans="12:17" ht="15">
      <c r="L237" s="159"/>
      <c r="M237" s="159"/>
      <c r="N237" s="160"/>
      <c r="O237" s="160"/>
      <c r="P237" s="160"/>
      <c r="Q237" s="160"/>
    </row>
    <row r="238" spans="12:17" ht="15">
      <c r="L238" s="159"/>
      <c r="M238" s="159"/>
      <c r="N238" s="160"/>
      <c r="O238" s="160"/>
      <c r="P238" s="160"/>
      <c r="Q238" s="160"/>
    </row>
    <row r="239" spans="12:17" ht="15">
      <c r="L239" s="159"/>
      <c r="M239" s="159"/>
      <c r="N239" s="160"/>
      <c r="O239" s="160"/>
      <c r="P239" s="160"/>
      <c r="Q239" s="160"/>
    </row>
    <row r="240" spans="12:17" ht="15">
      <c r="L240" s="159"/>
      <c r="M240" s="159"/>
      <c r="N240" s="160"/>
      <c r="O240" s="160"/>
      <c r="P240" s="160"/>
      <c r="Q240" s="160"/>
    </row>
    <row r="241" spans="12:17" ht="15">
      <c r="L241" s="159"/>
      <c r="M241" s="159"/>
      <c r="N241" s="160"/>
      <c r="O241" s="160"/>
      <c r="P241" s="160"/>
      <c r="Q241" s="160"/>
    </row>
    <row r="242" spans="12:17" ht="15">
      <c r="L242" s="159"/>
      <c r="M242" s="159"/>
      <c r="N242" s="160"/>
      <c r="O242" s="160"/>
      <c r="P242" s="160"/>
      <c r="Q242" s="160"/>
    </row>
    <row r="243" spans="12:17" ht="15">
      <c r="L243" s="159"/>
      <c r="M243" s="159"/>
      <c r="N243" s="160"/>
      <c r="O243" s="160"/>
      <c r="P243" s="160"/>
      <c r="Q243" s="160"/>
    </row>
    <row r="244" spans="12:17" ht="15">
      <c r="L244" s="159"/>
      <c r="M244" s="159"/>
      <c r="N244" s="160"/>
      <c r="O244" s="160"/>
      <c r="P244" s="160"/>
      <c r="Q244" s="160"/>
    </row>
    <row r="245" spans="12:17" ht="15">
      <c r="L245" s="159"/>
      <c r="M245" s="159"/>
      <c r="N245" s="160"/>
      <c r="O245" s="160"/>
      <c r="P245" s="160"/>
      <c r="Q245" s="160"/>
    </row>
    <row r="246" spans="12:17" ht="15">
      <c r="L246" s="159"/>
      <c r="M246" s="159"/>
      <c r="N246" s="160"/>
      <c r="O246" s="160"/>
      <c r="P246" s="160"/>
      <c r="Q246" s="160"/>
    </row>
    <row r="247" spans="12:17" ht="15">
      <c r="L247" s="159"/>
      <c r="M247" s="159"/>
      <c r="N247" s="160"/>
      <c r="O247" s="160"/>
      <c r="P247" s="160"/>
      <c r="Q247" s="160"/>
    </row>
    <row r="248" spans="12:17" ht="15">
      <c r="L248" s="159"/>
      <c r="M248" s="159"/>
      <c r="N248" s="160"/>
      <c r="O248" s="160"/>
      <c r="P248" s="160"/>
      <c r="Q248" s="160"/>
    </row>
    <row r="249" spans="12:17" ht="15">
      <c r="L249" s="159"/>
      <c r="M249" s="159"/>
      <c r="N249" s="160"/>
      <c r="O249" s="160"/>
      <c r="P249" s="160"/>
      <c r="Q249" s="160"/>
    </row>
    <row r="250" spans="12:17" ht="15">
      <c r="L250" s="159"/>
      <c r="M250" s="159"/>
      <c r="N250" s="160"/>
      <c r="O250" s="160"/>
      <c r="P250" s="160"/>
      <c r="Q250" s="160"/>
    </row>
    <row r="251" spans="12:17" ht="15">
      <c r="L251" s="159"/>
      <c r="M251" s="159"/>
      <c r="N251" s="160"/>
      <c r="O251" s="160"/>
      <c r="P251" s="160"/>
      <c r="Q251" s="160"/>
    </row>
    <row r="252" spans="12:17" ht="15">
      <c r="L252" s="159"/>
      <c r="M252" s="159"/>
      <c r="N252" s="160"/>
      <c r="O252" s="160"/>
      <c r="P252" s="160"/>
      <c r="Q252" s="160"/>
    </row>
    <row r="253" spans="12:17" ht="15">
      <c r="L253" s="159"/>
      <c r="M253" s="159"/>
      <c r="N253" s="160"/>
      <c r="O253" s="160"/>
      <c r="P253" s="160"/>
      <c r="Q253" s="160"/>
    </row>
    <row r="254" spans="12:17" ht="15">
      <c r="L254" s="159"/>
      <c r="M254" s="159"/>
      <c r="N254" s="160"/>
      <c r="O254" s="160"/>
      <c r="P254" s="160"/>
      <c r="Q254" s="160"/>
    </row>
    <row r="255" spans="12:17" ht="15">
      <c r="L255" s="159"/>
      <c r="M255" s="159"/>
      <c r="N255" s="160"/>
      <c r="O255" s="160"/>
      <c r="P255" s="160"/>
      <c r="Q255" s="160"/>
    </row>
    <row r="256" spans="12:17" ht="15">
      <c r="L256" s="159"/>
      <c r="M256" s="159"/>
      <c r="N256" s="160"/>
      <c r="O256" s="160"/>
      <c r="P256" s="160"/>
      <c r="Q256" s="160"/>
    </row>
    <row r="257" spans="12:17" ht="15">
      <c r="L257" s="159"/>
      <c r="M257" s="159"/>
      <c r="N257" s="160"/>
      <c r="O257" s="160"/>
      <c r="P257" s="160"/>
      <c r="Q257" s="160"/>
    </row>
    <row r="258" spans="12:17" ht="15">
      <c r="L258" s="159"/>
      <c r="M258" s="159"/>
      <c r="N258" s="160"/>
      <c r="O258" s="160"/>
      <c r="P258" s="160"/>
      <c r="Q258" s="160"/>
    </row>
    <row r="259" spans="12:17" ht="15">
      <c r="L259" s="159"/>
      <c r="M259" s="159"/>
      <c r="N259" s="160"/>
      <c r="O259" s="160"/>
      <c r="P259" s="160"/>
      <c r="Q259" s="160"/>
    </row>
    <row r="260" spans="12:17" ht="15">
      <c r="L260" s="159"/>
      <c r="M260" s="159"/>
      <c r="N260" s="160"/>
      <c r="O260" s="160"/>
      <c r="P260" s="160"/>
      <c r="Q260" s="160"/>
    </row>
    <row r="261" spans="12:17" ht="15">
      <c r="L261" s="159"/>
      <c r="M261" s="159"/>
      <c r="N261" s="160"/>
      <c r="O261" s="160"/>
      <c r="P261" s="160"/>
      <c r="Q261" s="160"/>
    </row>
    <row r="262" spans="12:17" ht="15">
      <c r="L262" s="159"/>
      <c r="M262" s="159"/>
      <c r="N262" s="160"/>
      <c r="O262" s="160"/>
      <c r="P262" s="160"/>
      <c r="Q262" s="160"/>
    </row>
    <row r="263" spans="12:17" ht="15">
      <c r="L263" s="159"/>
      <c r="M263" s="159"/>
      <c r="N263" s="160"/>
      <c r="O263" s="160"/>
      <c r="P263" s="160"/>
      <c r="Q263" s="160"/>
    </row>
    <row r="264" spans="12:17" ht="15">
      <c r="L264" s="159"/>
      <c r="M264" s="159"/>
      <c r="N264" s="160"/>
      <c r="O264" s="160"/>
      <c r="P264" s="160"/>
      <c r="Q264" s="160"/>
    </row>
    <row r="265" spans="12:17" ht="15">
      <c r="L265" s="159"/>
      <c r="M265" s="159"/>
      <c r="N265" s="160"/>
      <c r="O265" s="160"/>
      <c r="P265" s="160"/>
      <c r="Q265" s="160"/>
    </row>
    <row r="266" spans="12:17" ht="15">
      <c r="L266" s="159"/>
      <c r="M266" s="159"/>
      <c r="N266" s="160"/>
      <c r="O266" s="160"/>
      <c r="P266" s="160"/>
      <c r="Q266" s="160"/>
    </row>
    <row r="267" spans="12:17" ht="15">
      <c r="L267" s="159"/>
      <c r="M267" s="159"/>
      <c r="N267" s="160"/>
      <c r="O267" s="160"/>
      <c r="P267" s="160"/>
      <c r="Q267" s="160"/>
    </row>
    <row r="268" spans="12:17" ht="15">
      <c r="L268" s="159"/>
      <c r="M268" s="159"/>
      <c r="N268" s="160"/>
      <c r="O268" s="160"/>
      <c r="P268" s="160"/>
      <c r="Q268" s="160"/>
    </row>
    <row r="269" spans="12:17" ht="15">
      <c r="L269" s="159"/>
      <c r="M269" s="159"/>
      <c r="N269" s="160"/>
      <c r="O269" s="160"/>
      <c r="P269" s="160"/>
      <c r="Q269" s="160"/>
    </row>
    <row r="270" spans="12:17" ht="15">
      <c r="L270" s="159"/>
      <c r="M270" s="159"/>
      <c r="N270" s="160"/>
      <c r="O270" s="160"/>
      <c r="P270" s="160"/>
      <c r="Q270" s="160"/>
    </row>
    <row r="271" spans="12:17" ht="15">
      <c r="L271" s="159"/>
      <c r="M271" s="159"/>
      <c r="N271" s="160"/>
      <c r="O271" s="160"/>
      <c r="P271" s="160"/>
      <c r="Q271" s="160"/>
    </row>
    <row r="272" spans="12:17" ht="15">
      <c r="L272" s="159"/>
      <c r="M272" s="159"/>
      <c r="N272" s="160"/>
      <c r="O272" s="160"/>
      <c r="P272" s="160"/>
      <c r="Q272" s="160"/>
    </row>
    <row r="273" spans="12:17" ht="15">
      <c r="L273" s="159"/>
      <c r="M273" s="159"/>
      <c r="N273" s="160"/>
      <c r="O273" s="160"/>
      <c r="P273" s="160"/>
      <c r="Q273" s="160"/>
    </row>
    <row r="274" spans="12:17" ht="15">
      <c r="L274" s="159"/>
      <c r="M274" s="159"/>
      <c r="N274" s="160"/>
      <c r="O274" s="160"/>
      <c r="P274" s="160"/>
      <c r="Q274" s="160"/>
    </row>
    <row r="275" spans="12:17" ht="15">
      <c r="L275" s="159"/>
      <c r="M275" s="159"/>
      <c r="N275" s="160"/>
      <c r="O275" s="160"/>
      <c r="P275" s="160"/>
      <c r="Q275" s="160"/>
    </row>
    <row r="276" spans="12:17" ht="15">
      <c r="L276" s="159"/>
      <c r="M276" s="159"/>
      <c r="N276" s="160"/>
      <c r="O276" s="160"/>
      <c r="P276" s="160"/>
      <c r="Q276" s="160"/>
    </row>
    <row r="277" spans="12:17" ht="15">
      <c r="L277" s="159"/>
      <c r="M277" s="159"/>
      <c r="N277" s="160"/>
      <c r="O277" s="160"/>
      <c r="P277" s="160"/>
      <c r="Q277" s="160"/>
    </row>
    <row r="278" spans="12:17" ht="15">
      <c r="L278" s="159"/>
      <c r="M278" s="159"/>
      <c r="N278" s="160"/>
      <c r="O278" s="160"/>
      <c r="P278" s="160"/>
      <c r="Q278" s="160"/>
    </row>
    <row r="279" spans="12:17" ht="15">
      <c r="L279" s="159"/>
      <c r="M279" s="159"/>
      <c r="N279" s="160"/>
      <c r="O279" s="160"/>
      <c r="P279" s="160"/>
      <c r="Q279" s="160"/>
    </row>
    <row r="280" spans="12:17" ht="15">
      <c r="L280" s="159"/>
      <c r="M280" s="159"/>
      <c r="N280" s="160"/>
      <c r="O280" s="160"/>
      <c r="P280" s="160"/>
      <c r="Q280" s="160"/>
    </row>
    <row r="281" spans="12:17" ht="15">
      <c r="L281" s="159"/>
      <c r="M281" s="159"/>
      <c r="N281" s="160"/>
      <c r="O281" s="160"/>
      <c r="P281" s="160"/>
      <c r="Q281" s="160"/>
    </row>
    <row r="282" spans="12:17" ht="15">
      <c r="L282" s="159"/>
      <c r="M282" s="159"/>
      <c r="N282" s="160"/>
      <c r="O282" s="160"/>
      <c r="P282" s="160"/>
      <c r="Q282" s="160"/>
    </row>
    <row r="283" spans="12:17" ht="15">
      <c r="L283" s="159"/>
      <c r="M283" s="159"/>
      <c r="N283" s="160"/>
      <c r="O283" s="160"/>
      <c r="P283" s="160"/>
      <c r="Q283" s="160"/>
    </row>
    <row r="284" spans="12:17" ht="15">
      <c r="L284" s="159"/>
      <c r="M284" s="159"/>
      <c r="N284" s="160"/>
      <c r="O284" s="160"/>
      <c r="P284" s="160"/>
      <c r="Q284" s="160"/>
    </row>
    <row r="285" spans="12:17" ht="15">
      <c r="L285" s="159"/>
      <c r="M285" s="159"/>
      <c r="N285" s="160"/>
      <c r="O285" s="160"/>
      <c r="P285" s="160"/>
      <c r="Q285" s="160"/>
    </row>
    <row r="286" spans="12:17" ht="15">
      <c r="L286" s="159"/>
      <c r="M286" s="159"/>
      <c r="N286" s="160"/>
      <c r="O286" s="160"/>
      <c r="P286" s="160"/>
      <c r="Q286" s="160"/>
    </row>
    <row r="287" spans="12:17" ht="15">
      <c r="L287" s="159"/>
      <c r="M287" s="159"/>
      <c r="N287" s="160"/>
      <c r="O287" s="160"/>
      <c r="P287" s="160"/>
      <c r="Q287" s="160"/>
    </row>
    <row r="288" spans="12:17" ht="15">
      <c r="L288" s="159"/>
      <c r="M288" s="159"/>
      <c r="N288" s="160"/>
      <c r="O288" s="160"/>
      <c r="P288" s="160"/>
      <c r="Q288" s="160"/>
    </row>
    <row r="289" spans="12:17" ht="15">
      <c r="L289" s="159"/>
      <c r="M289" s="159"/>
      <c r="N289" s="160"/>
      <c r="O289" s="160"/>
      <c r="P289" s="160"/>
      <c r="Q289" s="160"/>
    </row>
    <row r="290" spans="12:17" ht="15">
      <c r="L290" s="159"/>
      <c r="M290" s="159"/>
      <c r="N290" s="160"/>
      <c r="O290" s="160"/>
      <c r="P290" s="160"/>
      <c r="Q290" s="160"/>
    </row>
    <row r="291" spans="12:17" ht="15">
      <c r="L291" s="159"/>
      <c r="M291" s="159"/>
      <c r="N291" s="160"/>
      <c r="O291" s="160"/>
      <c r="P291" s="160"/>
      <c r="Q291" s="160"/>
    </row>
    <row r="292" spans="12:17" ht="15">
      <c r="L292" s="159"/>
      <c r="M292" s="159"/>
      <c r="N292" s="160"/>
      <c r="O292" s="160"/>
      <c r="P292" s="160"/>
      <c r="Q292" s="160"/>
    </row>
    <row r="293" spans="12:17" ht="15">
      <c r="L293" s="159"/>
      <c r="M293" s="159"/>
      <c r="N293" s="160"/>
      <c r="O293" s="160"/>
      <c r="P293" s="160"/>
      <c r="Q293" s="160"/>
    </row>
    <row r="294" spans="12:17" ht="15">
      <c r="L294" s="159"/>
      <c r="M294" s="159"/>
      <c r="N294" s="160"/>
      <c r="O294" s="160"/>
      <c r="P294" s="160"/>
      <c r="Q294" s="160"/>
    </row>
    <row r="295" spans="12:17" ht="15">
      <c r="L295" s="159"/>
      <c r="M295" s="159"/>
      <c r="N295" s="160"/>
      <c r="O295" s="160"/>
      <c r="P295" s="160"/>
      <c r="Q295" s="160"/>
    </row>
    <row r="296" spans="12:17" ht="15">
      <c r="L296" s="159"/>
      <c r="M296" s="159"/>
      <c r="N296" s="160"/>
      <c r="O296" s="160"/>
      <c r="P296" s="160"/>
      <c r="Q296" s="160"/>
    </row>
    <row r="297" spans="12:17" ht="15">
      <c r="L297" s="159"/>
      <c r="M297" s="159"/>
      <c r="N297" s="160"/>
      <c r="O297" s="160"/>
      <c r="P297" s="160"/>
      <c r="Q297" s="160"/>
    </row>
    <row r="298" spans="12:17" ht="15">
      <c r="L298" s="159"/>
      <c r="M298" s="159"/>
      <c r="N298" s="160"/>
      <c r="O298" s="160"/>
      <c r="P298" s="160"/>
      <c r="Q298" s="160"/>
    </row>
    <row r="299" spans="12:17" ht="15">
      <c r="L299" s="159"/>
      <c r="M299" s="159"/>
      <c r="N299" s="160"/>
      <c r="O299" s="160"/>
      <c r="P299" s="160"/>
      <c r="Q299" s="160"/>
    </row>
    <row r="300" spans="12:17" ht="15">
      <c r="L300" s="159"/>
      <c r="M300" s="159"/>
      <c r="N300" s="160"/>
      <c r="O300" s="160"/>
      <c r="P300" s="160"/>
      <c r="Q300" s="160"/>
    </row>
    <row r="301" spans="12:17" ht="15">
      <c r="L301" s="159"/>
      <c r="M301" s="159"/>
      <c r="N301" s="160"/>
      <c r="O301" s="160"/>
      <c r="P301" s="160"/>
      <c r="Q301" s="160"/>
    </row>
    <row r="302" spans="12:17" ht="15">
      <c r="L302" s="159"/>
      <c r="M302" s="159"/>
      <c r="N302" s="160"/>
      <c r="O302" s="160"/>
      <c r="P302" s="160"/>
      <c r="Q302" s="160"/>
    </row>
    <row r="303" spans="12:17" ht="15">
      <c r="L303" s="159"/>
      <c r="M303" s="159"/>
      <c r="N303" s="160"/>
      <c r="O303" s="160"/>
      <c r="P303" s="160"/>
      <c r="Q303" s="160"/>
    </row>
    <row r="304" spans="12:17" ht="15">
      <c r="L304" s="159"/>
      <c r="M304" s="159"/>
      <c r="N304" s="160"/>
      <c r="O304" s="160"/>
      <c r="P304" s="160"/>
      <c r="Q304" s="160"/>
    </row>
    <row r="305" spans="12:17" ht="15">
      <c r="L305" s="159"/>
      <c r="M305" s="159"/>
      <c r="N305" s="160"/>
      <c r="O305" s="160"/>
      <c r="P305" s="160"/>
      <c r="Q305" s="160"/>
    </row>
    <row r="306" spans="12:17" ht="15">
      <c r="L306" s="159"/>
      <c r="M306" s="159"/>
      <c r="N306" s="160"/>
      <c r="O306" s="160"/>
      <c r="P306" s="160"/>
      <c r="Q306" s="160"/>
    </row>
    <row r="307" spans="12:17" ht="15">
      <c r="L307" s="159"/>
      <c r="M307" s="159"/>
      <c r="N307" s="160"/>
      <c r="O307" s="160"/>
      <c r="P307" s="160"/>
      <c r="Q307" s="160"/>
    </row>
    <row r="308" spans="12:17" ht="15">
      <c r="L308" s="159"/>
      <c r="M308" s="159"/>
      <c r="N308" s="160"/>
      <c r="O308" s="160"/>
      <c r="P308" s="160"/>
      <c r="Q308" s="160"/>
    </row>
    <row r="309" spans="12:17" ht="15">
      <c r="L309" s="159"/>
      <c r="M309" s="159"/>
      <c r="N309" s="160"/>
      <c r="O309" s="160"/>
      <c r="P309" s="160"/>
      <c r="Q309" s="160"/>
    </row>
    <row r="310" spans="12:17" ht="15">
      <c r="L310" s="159"/>
      <c r="M310" s="159"/>
      <c r="N310" s="160"/>
      <c r="O310" s="160"/>
      <c r="P310" s="160"/>
      <c r="Q310" s="160"/>
    </row>
    <row r="311" spans="12:17" ht="15">
      <c r="L311" s="159"/>
      <c r="M311" s="159"/>
      <c r="N311" s="160"/>
      <c r="O311" s="160"/>
      <c r="P311" s="160"/>
      <c r="Q311" s="160"/>
    </row>
    <row r="312" spans="12:17" ht="15">
      <c r="L312" s="159"/>
      <c r="M312" s="159"/>
      <c r="N312" s="160"/>
      <c r="O312" s="160"/>
      <c r="P312" s="160"/>
      <c r="Q312" s="160"/>
    </row>
    <row r="313" spans="12:17" ht="15">
      <c r="L313" s="159"/>
      <c r="M313" s="159"/>
      <c r="N313" s="160"/>
      <c r="O313" s="160"/>
      <c r="P313" s="160"/>
      <c r="Q313" s="160"/>
    </row>
    <row r="314" spans="12:17" ht="15">
      <c r="L314" s="159"/>
      <c r="M314" s="159"/>
      <c r="N314" s="160"/>
      <c r="O314" s="160"/>
      <c r="P314" s="160"/>
      <c r="Q314" s="160"/>
    </row>
    <row r="315" spans="12:17" ht="15">
      <c r="L315" s="159"/>
      <c r="M315" s="159"/>
      <c r="N315" s="160"/>
      <c r="O315" s="160"/>
      <c r="P315" s="160"/>
      <c r="Q315" s="160"/>
    </row>
    <row r="316" spans="12:17" ht="15">
      <c r="L316" s="159"/>
      <c r="M316" s="159"/>
      <c r="N316" s="160"/>
      <c r="O316" s="160"/>
      <c r="P316" s="160"/>
      <c r="Q316" s="160"/>
    </row>
    <row r="317" spans="12:17" ht="15">
      <c r="L317" s="159"/>
      <c r="M317" s="159"/>
      <c r="N317" s="160"/>
      <c r="O317" s="160"/>
      <c r="P317" s="160"/>
      <c r="Q317" s="160"/>
    </row>
    <row r="318" spans="12:17" ht="15">
      <c r="L318" s="159"/>
      <c r="M318" s="159"/>
      <c r="N318" s="160"/>
      <c r="O318" s="160"/>
      <c r="P318" s="160"/>
      <c r="Q318" s="160"/>
    </row>
    <row r="319" spans="12:17" ht="15">
      <c r="L319" s="159"/>
      <c r="M319" s="159"/>
      <c r="N319" s="160"/>
      <c r="O319" s="160"/>
      <c r="P319" s="160"/>
      <c r="Q319" s="160"/>
    </row>
    <row r="320" spans="12:17" ht="15">
      <c r="L320" s="159"/>
      <c r="M320" s="159"/>
      <c r="N320" s="160"/>
      <c r="O320" s="160"/>
      <c r="P320" s="160"/>
      <c r="Q320" s="160"/>
    </row>
    <row r="321" spans="12:17" ht="15">
      <c r="L321" s="159"/>
      <c r="M321" s="159"/>
      <c r="N321" s="160"/>
      <c r="O321" s="160"/>
      <c r="P321" s="160"/>
      <c r="Q321" s="160"/>
    </row>
    <row r="322" spans="12:17" ht="15">
      <c r="L322" s="159"/>
      <c r="M322" s="159"/>
      <c r="N322" s="160"/>
      <c r="O322" s="160"/>
      <c r="P322" s="160"/>
      <c r="Q322" s="160"/>
    </row>
    <row r="323" spans="12:17" ht="15">
      <c r="L323" s="159"/>
      <c r="M323" s="159"/>
      <c r="N323" s="160"/>
      <c r="O323" s="160"/>
      <c r="P323" s="160"/>
      <c r="Q323" s="160"/>
    </row>
    <row r="324" spans="12:17" ht="15">
      <c r="L324" s="159"/>
      <c r="M324" s="159"/>
      <c r="N324" s="160"/>
      <c r="O324" s="160"/>
      <c r="P324" s="160"/>
      <c r="Q324" s="160"/>
    </row>
    <row r="325" spans="12:17" ht="15">
      <c r="L325" s="159"/>
      <c r="M325" s="159"/>
      <c r="N325" s="160"/>
      <c r="O325" s="160"/>
      <c r="P325" s="160"/>
      <c r="Q325" s="160"/>
    </row>
    <row r="326" spans="12:17" ht="15">
      <c r="L326" s="159"/>
      <c r="M326" s="159"/>
      <c r="N326" s="160"/>
      <c r="O326" s="160"/>
      <c r="P326" s="160"/>
      <c r="Q326" s="160"/>
    </row>
    <row r="327" spans="12:17" ht="15">
      <c r="L327" s="159"/>
      <c r="M327" s="159"/>
      <c r="N327" s="160"/>
      <c r="O327" s="160"/>
      <c r="P327" s="160"/>
      <c r="Q327" s="160"/>
    </row>
    <row r="328" spans="12:17" ht="15">
      <c r="L328" s="159"/>
      <c r="M328" s="159"/>
      <c r="N328" s="160"/>
      <c r="O328" s="160"/>
      <c r="P328" s="160"/>
      <c r="Q328" s="160"/>
    </row>
    <row r="329" spans="12:17" ht="15">
      <c r="L329" s="159"/>
      <c r="M329" s="159"/>
      <c r="N329" s="160"/>
      <c r="O329" s="160"/>
      <c r="P329" s="160"/>
      <c r="Q329" s="160"/>
    </row>
    <row r="330" spans="12:17" ht="15">
      <c r="L330" s="159"/>
      <c r="M330" s="159"/>
      <c r="N330" s="160"/>
      <c r="O330" s="160"/>
      <c r="P330" s="160"/>
      <c r="Q330" s="160"/>
    </row>
    <row r="331" spans="12:17" ht="15">
      <c r="L331" s="159"/>
      <c r="M331" s="159"/>
      <c r="N331" s="160"/>
      <c r="O331" s="160"/>
      <c r="P331" s="160"/>
      <c r="Q331" s="160"/>
    </row>
    <row r="332" spans="12:17" ht="15">
      <c r="L332" s="159"/>
      <c r="M332" s="159"/>
      <c r="N332" s="160"/>
      <c r="O332" s="160"/>
      <c r="P332" s="160"/>
      <c r="Q332" s="160"/>
    </row>
    <row r="333" spans="12:17" ht="15">
      <c r="L333" s="159"/>
      <c r="M333" s="159"/>
      <c r="N333" s="160"/>
      <c r="O333" s="160"/>
      <c r="P333" s="160"/>
      <c r="Q333" s="160"/>
    </row>
    <row r="334" spans="12:17" ht="15">
      <c r="L334" s="159"/>
      <c r="M334" s="159"/>
      <c r="N334" s="160"/>
      <c r="O334" s="160"/>
      <c r="P334" s="160"/>
      <c r="Q334" s="160"/>
    </row>
    <row r="335" spans="12:17" ht="15">
      <c r="L335" s="159"/>
      <c r="M335" s="159"/>
      <c r="N335" s="160"/>
      <c r="O335" s="160"/>
      <c r="P335" s="160"/>
      <c r="Q335" s="160"/>
    </row>
    <row r="336" spans="12:17" ht="15">
      <c r="L336" s="159"/>
      <c r="M336" s="159"/>
      <c r="N336" s="160"/>
      <c r="O336" s="160"/>
      <c r="P336" s="160"/>
      <c r="Q336" s="160"/>
    </row>
    <row r="337" spans="12:17" ht="15">
      <c r="L337" s="159"/>
      <c r="M337" s="159"/>
      <c r="N337" s="160"/>
      <c r="O337" s="160"/>
      <c r="P337" s="160"/>
      <c r="Q337" s="160"/>
    </row>
    <row r="338" spans="12:17" ht="15">
      <c r="L338" s="159"/>
      <c r="M338" s="159"/>
      <c r="N338" s="160"/>
      <c r="O338" s="160"/>
      <c r="P338" s="160"/>
      <c r="Q338" s="160"/>
    </row>
    <row r="339" spans="12:17" ht="15">
      <c r="L339" s="159"/>
      <c r="M339" s="159"/>
      <c r="N339" s="160"/>
      <c r="O339" s="160"/>
      <c r="P339" s="160"/>
      <c r="Q339" s="160"/>
    </row>
    <row r="340" spans="12:17" ht="15">
      <c r="L340" s="159"/>
      <c r="M340" s="159"/>
      <c r="N340" s="160"/>
      <c r="O340" s="160"/>
      <c r="P340" s="160"/>
      <c r="Q340" s="160"/>
    </row>
    <row r="341" spans="12:17" ht="15">
      <c r="L341" s="159"/>
      <c r="M341" s="159"/>
      <c r="N341" s="160"/>
      <c r="O341" s="160"/>
      <c r="P341" s="160"/>
      <c r="Q341" s="160"/>
    </row>
    <row r="342" spans="12:17" ht="15">
      <c r="L342" s="159"/>
      <c r="M342" s="159"/>
      <c r="N342" s="160"/>
      <c r="O342" s="160"/>
      <c r="P342" s="160"/>
      <c r="Q342" s="160"/>
    </row>
    <row r="343" spans="12:17" ht="15">
      <c r="L343" s="159"/>
      <c r="M343" s="159"/>
      <c r="N343" s="160"/>
      <c r="O343" s="160"/>
      <c r="P343" s="160"/>
      <c r="Q343" s="160"/>
    </row>
    <row r="344" spans="12:17" ht="15">
      <c r="L344" s="159"/>
      <c r="M344" s="159"/>
      <c r="N344" s="160"/>
      <c r="O344" s="160"/>
      <c r="P344" s="160"/>
      <c r="Q344" s="160"/>
    </row>
    <row r="345" spans="12:17" ht="15">
      <c r="L345" s="159"/>
      <c r="M345" s="159"/>
      <c r="N345" s="160"/>
      <c r="O345" s="160"/>
      <c r="P345" s="160"/>
      <c r="Q345" s="160"/>
    </row>
    <row r="346" spans="12:17" ht="15">
      <c r="L346" s="159"/>
      <c r="M346" s="159"/>
      <c r="N346" s="160"/>
      <c r="O346" s="160"/>
      <c r="P346" s="160"/>
      <c r="Q346" s="160"/>
    </row>
    <row r="347" spans="12:17" ht="15">
      <c r="L347" s="159"/>
      <c r="M347" s="159"/>
      <c r="N347" s="160"/>
      <c r="O347" s="160"/>
      <c r="P347" s="160"/>
      <c r="Q347" s="160"/>
    </row>
    <row r="348" spans="12:17" ht="15">
      <c r="L348" s="159"/>
      <c r="M348" s="159"/>
      <c r="N348" s="160"/>
      <c r="O348" s="160"/>
      <c r="P348" s="160"/>
      <c r="Q348" s="160"/>
    </row>
    <row r="349" spans="12:17" ht="15">
      <c r="L349" s="159"/>
      <c r="M349" s="159"/>
      <c r="N349" s="160"/>
      <c r="O349" s="160"/>
      <c r="P349" s="160"/>
      <c r="Q349" s="160"/>
    </row>
    <row r="350" spans="12:17" ht="15">
      <c r="L350" s="159"/>
      <c r="M350" s="159"/>
      <c r="N350" s="160"/>
      <c r="O350" s="160"/>
      <c r="P350" s="160"/>
      <c r="Q350" s="160"/>
    </row>
    <row r="351" spans="12:17" ht="15">
      <c r="L351" s="159"/>
      <c r="M351" s="159"/>
      <c r="N351" s="160"/>
      <c r="O351" s="160"/>
      <c r="P351" s="160"/>
      <c r="Q351" s="160"/>
    </row>
    <row r="352" spans="12:17" ht="15">
      <c r="L352" s="159"/>
      <c r="M352" s="159"/>
      <c r="N352" s="160"/>
      <c r="O352" s="160"/>
      <c r="P352" s="160"/>
      <c r="Q352" s="160"/>
    </row>
    <row r="353" spans="12:17" ht="15">
      <c r="L353" s="159"/>
      <c r="M353" s="159"/>
      <c r="N353" s="160"/>
      <c r="O353" s="160"/>
      <c r="P353" s="160"/>
      <c r="Q353" s="160"/>
    </row>
    <row r="354" spans="12:17" ht="15">
      <c r="L354" s="159"/>
      <c r="M354" s="159"/>
      <c r="N354" s="160"/>
      <c r="O354" s="160"/>
      <c r="P354" s="160"/>
      <c r="Q354" s="160"/>
    </row>
    <row r="355" spans="12:17" ht="15">
      <c r="L355" s="159"/>
      <c r="M355" s="159"/>
      <c r="N355" s="160"/>
      <c r="O355" s="160"/>
      <c r="P355" s="160"/>
      <c r="Q355" s="160"/>
    </row>
    <row r="356" spans="12:17" ht="15">
      <c r="L356" s="159"/>
      <c r="M356" s="159"/>
      <c r="N356" s="160"/>
      <c r="O356" s="160"/>
      <c r="P356" s="160"/>
      <c r="Q356" s="160"/>
    </row>
    <row r="357" spans="12:17" ht="15">
      <c r="L357" s="159"/>
      <c r="M357" s="159"/>
      <c r="N357" s="160"/>
      <c r="O357" s="160"/>
      <c r="P357" s="160"/>
      <c r="Q357" s="160"/>
    </row>
    <row r="358" spans="12:17" ht="15">
      <c r="L358" s="159"/>
      <c r="M358" s="159"/>
      <c r="N358" s="160"/>
      <c r="O358" s="160"/>
      <c r="P358" s="160"/>
      <c r="Q358" s="160"/>
    </row>
    <row r="359" spans="12:17" ht="15">
      <c r="L359" s="159"/>
      <c r="M359" s="159"/>
      <c r="N359" s="160"/>
      <c r="O359" s="160"/>
      <c r="P359" s="160"/>
      <c r="Q359" s="160"/>
    </row>
    <row r="360" spans="12:17" ht="15">
      <c r="L360" s="159"/>
      <c r="M360" s="159"/>
      <c r="N360" s="160"/>
      <c r="O360" s="160"/>
      <c r="P360" s="160"/>
      <c r="Q360" s="160"/>
    </row>
    <row r="361" spans="12:17" ht="15">
      <c r="L361" s="159"/>
      <c r="M361" s="159"/>
      <c r="N361" s="160"/>
      <c r="O361" s="160"/>
      <c r="P361" s="160"/>
      <c r="Q361" s="160"/>
    </row>
    <row r="362" spans="12:17" ht="15">
      <c r="L362" s="159"/>
      <c r="M362" s="159"/>
      <c r="N362" s="160"/>
      <c r="O362" s="160"/>
      <c r="P362" s="160"/>
      <c r="Q362" s="160"/>
    </row>
    <row r="363" spans="12:17" ht="15">
      <c r="L363" s="159"/>
      <c r="M363" s="159"/>
      <c r="N363" s="160"/>
      <c r="O363" s="160"/>
      <c r="P363" s="160"/>
      <c r="Q363" s="160"/>
    </row>
    <row r="364" spans="12:17" ht="15">
      <c r="L364" s="159"/>
      <c r="M364" s="159"/>
      <c r="N364" s="160"/>
      <c r="O364" s="160"/>
      <c r="P364" s="160"/>
      <c r="Q364" s="160"/>
    </row>
    <row r="365" spans="12:17" ht="15">
      <c r="L365" s="159"/>
      <c r="M365" s="159"/>
      <c r="N365" s="160"/>
      <c r="O365" s="160"/>
      <c r="P365" s="160"/>
      <c r="Q365" s="160"/>
    </row>
    <row r="366" spans="12:17" ht="15">
      <c r="L366" s="159"/>
      <c r="M366" s="159"/>
      <c r="N366" s="160"/>
      <c r="O366" s="160"/>
      <c r="P366" s="160"/>
      <c r="Q366" s="160"/>
    </row>
    <row r="367" spans="12:17" ht="15">
      <c r="L367" s="159"/>
      <c r="M367" s="159"/>
      <c r="N367" s="160"/>
      <c r="O367" s="160"/>
      <c r="P367" s="160"/>
      <c r="Q367" s="160"/>
    </row>
    <row r="368" spans="12:17" ht="15">
      <c r="L368" s="159"/>
      <c r="M368" s="159"/>
      <c r="N368" s="160"/>
      <c r="O368" s="160"/>
      <c r="P368" s="160"/>
      <c r="Q368" s="160"/>
    </row>
    <row r="369" spans="12:17" ht="15">
      <c r="L369" s="159"/>
      <c r="M369" s="159"/>
      <c r="N369" s="160"/>
      <c r="O369" s="160"/>
      <c r="P369" s="160"/>
      <c r="Q369" s="160"/>
    </row>
    <row r="370" spans="12:17" ht="15">
      <c r="L370" s="159"/>
      <c r="M370" s="159"/>
      <c r="N370" s="160"/>
      <c r="O370" s="160"/>
      <c r="P370" s="160"/>
      <c r="Q370" s="160"/>
    </row>
    <row r="371" spans="12:17" ht="15">
      <c r="L371" s="159"/>
      <c r="M371" s="159"/>
      <c r="N371" s="160"/>
      <c r="O371" s="160"/>
      <c r="P371" s="160"/>
      <c r="Q371" s="160"/>
    </row>
    <row r="372" spans="12:17" ht="15">
      <c r="L372" s="159"/>
      <c r="M372" s="159"/>
      <c r="N372" s="160"/>
      <c r="O372" s="160"/>
      <c r="P372" s="160"/>
      <c r="Q372" s="160"/>
    </row>
    <row r="373" spans="12:17" ht="15">
      <c r="L373" s="159"/>
      <c r="M373" s="159"/>
      <c r="N373" s="160"/>
      <c r="O373" s="160"/>
      <c r="P373" s="160"/>
      <c r="Q373" s="160"/>
    </row>
    <row r="374" spans="12:17" ht="15">
      <c r="L374" s="159"/>
      <c r="M374" s="159"/>
      <c r="N374" s="160"/>
      <c r="O374" s="160"/>
      <c r="P374" s="160"/>
      <c r="Q374" s="160"/>
    </row>
    <row r="375" spans="12:17" ht="15">
      <c r="L375" s="159"/>
      <c r="M375" s="159"/>
      <c r="N375" s="160"/>
      <c r="O375" s="160"/>
      <c r="P375" s="160"/>
      <c r="Q375" s="160"/>
    </row>
    <row r="376" spans="12:17" ht="15">
      <c r="L376" s="159"/>
      <c r="M376" s="159"/>
      <c r="N376" s="160"/>
      <c r="O376" s="160"/>
      <c r="P376" s="160"/>
      <c r="Q376" s="160"/>
    </row>
    <row r="377" spans="12:17" ht="15">
      <c r="L377" s="159"/>
      <c r="M377" s="159"/>
      <c r="N377" s="160"/>
      <c r="O377" s="160"/>
      <c r="P377" s="160"/>
      <c r="Q377" s="160"/>
    </row>
    <row r="378" spans="12:17" ht="15">
      <c r="L378" s="159"/>
      <c r="M378" s="159"/>
      <c r="N378" s="160"/>
      <c r="O378" s="160"/>
      <c r="P378" s="160"/>
      <c r="Q378" s="160"/>
    </row>
    <row r="379" spans="12:17" ht="15">
      <c r="L379" s="159"/>
      <c r="M379" s="159"/>
      <c r="N379" s="160"/>
      <c r="O379" s="160"/>
      <c r="P379" s="160"/>
      <c r="Q379" s="160"/>
    </row>
    <row r="380" spans="12:17" ht="15">
      <c r="L380" s="159"/>
      <c r="M380" s="159"/>
      <c r="N380" s="160"/>
      <c r="O380" s="160"/>
      <c r="P380" s="160"/>
      <c r="Q380" s="160"/>
    </row>
    <row r="381" spans="12:17" ht="15">
      <c r="L381" s="159"/>
      <c r="M381" s="159"/>
      <c r="N381" s="160"/>
      <c r="O381" s="160"/>
      <c r="P381" s="160"/>
      <c r="Q381" s="160"/>
    </row>
    <row r="382" spans="12:17" ht="15">
      <c r="L382" s="159"/>
      <c r="M382" s="159"/>
      <c r="N382" s="160"/>
      <c r="O382" s="160"/>
      <c r="P382" s="160"/>
      <c r="Q382" s="160"/>
    </row>
    <row r="383" spans="12:17" ht="15">
      <c r="L383" s="159"/>
      <c r="M383" s="159"/>
      <c r="N383" s="160"/>
      <c r="O383" s="160"/>
      <c r="P383" s="160"/>
      <c r="Q383" s="160"/>
    </row>
    <row r="384" spans="12:17" ht="15">
      <c r="L384" s="159"/>
      <c r="M384" s="159"/>
      <c r="N384" s="160"/>
      <c r="O384" s="160"/>
      <c r="P384" s="160"/>
      <c r="Q384" s="160"/>
    </row>
    <row r="385" spans="12:17" ht="15">
      <c r="L385" s="159"/>
      <c r="M385" s="159"/>
      <c r="N385" s="160"/>
      <c r="O385" s="160"/>
      <c r="P385" s="160"/>
      <c r="Q385" s="160"/>
    </row>
    <row r="386" spans="12:17" ht="15">
      <c r="L386" s="159"/>
      <c r="M386" s="159"/>
      <c r="N386" s="160"/>
      <c r="O386" s="160"/>
      <c r="P386" s="160"/>
      <c r="Q386" s="160"/>
    </row>
    <row r="387" spans="12:17" ht="15">
      <c r="L387" s="159"/>
      <c r="M387" s="159"/>
      <c r="N387" s="160"/>
      <c r="O387" s="160"/>
      <c r="P387" s="160"/>
      <c r="Q387" s="160"/>
    </row>
    <row r="388" spans="12:17" ht="15">
      <c r="L388" s="159"/>
      <c r="M388" s="159"/>
      <c r="N388" s="160"/>
      <c r="O388" s="160"/>
      <c r="P388" s="160"/>
      <c r="Q388" s="160"/>
    </row>
    <row r="389" spans="12:17" ht="15">
      <c r="L389" s="159"/>
      <c r="M389" s="159"/>
      <c r="N389" s="160"/>
      <c r="O389" s="160"/>
      <c r="P389" s="160"/>
      <c r="Q389" s="160"/>
    </row>
  </sheetData>
  <sheetProtection selectLockedCells="1" selectUnlockedCells="1"/>
  <mergeCells count="18">
    <mergeCell ref="G8:G9"/>
    <mergeCell ref="N8:N9"/>
    <mergeCell ref="H8:H9"/>
    <mergeCell ref="I8:I9"/>
    <mergeCell ref="J8:J9"/>
    <mergeCell ref="K8:K9"/>
    <mergeCell ref="L8:L9"/>
    <mergeCell ref="M8:M9"/>
    <mergeCell ref="P8:P9"/>
    <mergeCell ref="B5:Q6"/>
    <mergeCell ref="E1:L2"/>
    <mergeCell ref="E3:L4"/>
    <mergeCell ref="A8:A9"/>
    <mergeCell ref="B8:B9"/>
    <mergeCell ref="C8:C9"/>
    <mergeCell ref="D8:D9"/>
    <mergeCell ref="E8:E9"/>
    <mergeCell ref="F8:F9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2021-07-28T11:57:45Z</cp:lastPrinted>
  <dcterms:modified xsi:type="dcterms:W3CDTF">2021-08-16T05:15:53Z</dcterms:modified>
  <cp:category/>
  <cp:version/>
  <cp:contentType/>
  <cp:contentStatus/>
</cp:coreProperties>
</file>