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'2022'!$B$5</definedName>
  </definedNames>
  <calcPr fullCalcOnLoad="1"/>
</workbook>
</file>

<file path=xl/sharedStrings.xml><?xml version="1.0" encoding="utf-8"?>
<sst xmlns="http://schemas.openxmlformats.org/spreadsheetml/2006/main" count="1083" uniqueCount="395">
  <si>
    <t xml:space="preserve">Приложение №5
к решению Совета народных депутатов города Струнино                                                       
от  14.12.2021                   №60 </t>
  </si>
  <si>
    <t>Ведомственная структура расходов бюджета города Струнино на 2022 год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</si>
  <si>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</si>
  <si>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</si>
  <si>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</si>
  <si>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</si>
  <si>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</si>
  <si>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</si>
  <si>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2022 год, тыс. руб.</t>
  </si>
  <si>
    <t>Решение СНД №15 от 26.04.2022</t>
  </si>
  <si>
    <t>изменения</t>
  </si>
  <si>
    <t>Решение СНД №30 от 26.07.2022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</si>
  <si>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</si>
  <si>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</si>
  <si>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</si>
  <si>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</si>
  <si>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</si>
  <si>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</si>
  <si>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</si>
  <si>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</si>
  <si>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</si>
  <si>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</si>
  <si>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</si>
  <si>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</si>
  <si>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</si>
  <si>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</si>
  <si>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</si>
  <si>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</si>
  <si>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</si>
  <si>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</si>
  <si>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</si>
  <si>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</si>
  <si>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</si>
  <si>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</si>
  <si>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</si>
  <si>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</si>
  <si>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</si>
  <si>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</si>
  <si>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</si>
  <si>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99 9 00 55491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</si>
  <si>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</si>
  <si>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</si>
  <si>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</si>
  <si>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</si>
  <si>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</si>
  <si>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</si>
  <si>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</si>
  <si>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</si>
  <si>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</si>
  <si>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</si>
  <si>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</si>
  <si>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</si>
  <si>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</si>
  <si>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</si>
  <si>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</si>
  <si>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</si>
  <si>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</si>
  <si>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</si>
  <si>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</si>
  <si>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</si>
  <si>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</si>
  <si>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</si>
  <si>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</si>
  <si>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</si>
  <si>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</si>
  <si>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</si>
  <si>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</si>
  <si>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</si>
  <si>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</si>
  <si>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</si>
  <si>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</si>
  <si>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</si>
  <si>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</si>
  <si>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</si>
  <si>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</si>
  <si>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</si>
  <si>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</si>
  <si>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нов. Ремонт отопления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</si>
  <si>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</si>
  <si>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</si>
  <si>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</si>
  <si>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</si>
  <si>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</si>
  <si>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</si>
  <si>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</si>
  <si>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</si>
  <si>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</si>
  <si>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</si>
  <si>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</si>
  <si>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</si>
  <si>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</si>
  <si>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</si>
  <si>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</si>
  <si>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</si>
  <si>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</si>
  <si>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</si>
  <si>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</si>
  <si>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</si>
  <si>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</si>
  <si>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</si>
  <si>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</si>
  <si>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</si>
  <si>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</si>
  <si>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</si>
  <si>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</si>
  <si>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</si>
  <si>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</si>
  <si>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</si>
  <si>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</si>
  <si>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</si>
  <si>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</si>
  <si>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</si>
  <si>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</si>
  <si>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</si>
  <si>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</si>
  <si>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</si>
  <si>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</si>
  <si>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</si>
  <si>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</si>
  <si>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</si>
  <si>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07 0 01 20500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</si>
  <si>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</si>
  <si>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</si>
  <si>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</si>
  <si>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</si>
  <si>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</si>
  <si>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</si>
  <si>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07 0 02 20091</t>
  </si>
  <si>
    <t>нов</t>
  </si>
  <si>
    <t>в том числе добровольные пожертвования на текущий ремонт щебеночного покрытия дороги на  кладбище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</si>
  <si>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</si>
  <si>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</si>
  <si>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</si>
  <si>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</si>
  <si>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</si>
  <si>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</si>
  <si>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</si>
  <si>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</si>
  <si>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</si>
  <si>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</si>
  <si>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</si>
  <si>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</si>
  <si>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</si>
  <si>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</si>
  <si>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</si>
  <si>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</si>
  <si>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25 0 02 20055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</si>
  <si>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</si>
  <si>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</si>
  <si>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</si>
  <si>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</si>
  <si>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</si>
  <si>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</si>
  <si>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</si>
  <si>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</si>
  <si>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</si>
  <si>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</si>
  <si>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</si>
  <si>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</si>
  <si>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</si>
  <si>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</si>
  <si>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</si>
  <si>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</si>
  <si>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</si>
  <si>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</si>
  <si>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</si>
  <si>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</si>
  <si>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</si>
  <si>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</si>
  <si>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</si>
  <si>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</si>
  <si>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</si>
  <si>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</si>
  <si>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</si>
  <si>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</si>
  <si>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</si>
  <si>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</si>
  <si>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Расходы по доработке проекта планировки территории города Струнино (Закупка товаров, работ и услуг для государственных (муниципальных) нужд)</t>
  </si>
  <si>
    <t>24 2 01 20134</t>
  </si>
  <si>
    <t>Жилищно-коммунальное хозяйство</t>
  </si>
  <si>
    <t>05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</si>
  <si>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</si>
  <si>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</si>
  <si>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</si>
  <si>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</si>
  <si>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</si>
  <si>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</si>
  <si>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</si>
  <si>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</si>
  <si>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</si>
  <si>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</si>
  <si>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</si>
  <si>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</si>
  <si>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</si>
  <si>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</si>
  <si>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</si>
  <si>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</si>
  <si>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</si>
  <si>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Мероприятия на обеспечение устойчивого сокращения непригодного для проживания жилищного фонда за счет средств местного бюджета   (Иные бюджетные ассигнования)</t>
  </si>
  <si>
    <t>нов. 76,2+47,503</t>
  </si>
  <si>
    <t>пени+исп.лист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</si>
  <si>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</si>
  <si>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</si>
  <si>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</si>
  <si>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</si>
  <si>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</si>
  <si>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</si>
  <si>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</si>
  <si>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Нов 3500,0</t>
  </si>
  <si>
    <t>в том числе приобретение мини-погрузчика за счет средств местного бюджета</t>
  </si>
  <si>
    <t>Основное мероприятие "Ремонт муниципального имущества"</t>
  </si>
  <si>
    <t xml:space="preserve">03 0 03 </t>
  </si>
  <si>
    <t>Капитальный ремонт  нежилого здания (водозаборное сооружение) по ул.Зеленая (Закупка товаров, работ и услуг для государственных (муниципальных) нужд)</t>
  </si>
  <si>
    <t>03 0 03 30020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</si>
  <si>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</si>
  <si>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</si>
  <si>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</si>
  <si>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</si>
  <si>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</si>
  <si>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19 0 02 40100</t>
  </si>
  <si>
    <t>Основное мероприятие «Проведение мероприятий в области коммунального хозяйства»</t>
  </si>
  <si>
    <t>19 0 03</t>
  </si>
  <si>
    <t>Расходы по актуализации схем водоснабжения и водоотведения, теплоснабжения города Струнино (Закупка товаров, работ и услуг для государственных (муниципальных) нужд)</t>
  </si>
  <si>
    <t>19 0 03 20135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</si>
  <si>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</si>
  <si>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</si>
  <si>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Разработка проектно-сметной документации капитального строительства блочно-модульной газовой котельной, мощностью 8,97 МВ для отопления и ГВС, расположенной по ул.Заречная (квартал Д) (Капитальные вложения в объекты  государственной (муниципальной) собственности)</t>
  </si>
  <si>
    <t>19 0 03 40300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</si>
  <si>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</si>
  <si>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</si>
  <si>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</si>
  <si>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</si>
  <si>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</si>
  <si>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</si>
  <si>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</si>
  <si>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Расходы на  создание мест (площадок) для  накопления ТКО (Закупка товаров, работ и услуг для государственных (муниципальных) нужд)</t>
  </si>
  <si>
    <t>06 0 07 S2160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</si>
  <si>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</si>
  <si>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</si>
  <si>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</si>
  <si>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</si>
  <si>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</si>
  <si>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</si>
  <si>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</si>
  <si>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</si>
  <si>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нов +1000,0 ул.осв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</si>
  <si>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</si>
  <si>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</si>
  <si>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</si>
  <si>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</si>
  <si>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в том числе добровольные пожертвования на благоустройство кладбища</t>
  </si>
  <si>
    <t>в том числе добровольные пожертвования на реставрацию мемориала на городском кладбище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</si>
  <si>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</si>
  <si>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</si>
  <si>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</si>
  <si>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</si>
  <si>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</si>
  <si>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</si>
  <si>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</si>
  <si>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</si>
  <si>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Проведение мероприятий по установке опор уличного освещения (Закупка товаров, работ и услуг для государственных (муниципальных) нужд)</t>
  </si>
  <si>
    <t>06 0 05 20133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</si>
  <si>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</si>
  <si>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</si>
  <si>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</si>
  <si>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</si>
  <si>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</si>
  <si>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</si>
  <si>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</si>
  <si>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</si>
  <si>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</si>
  <si>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</si>
  <si>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</si>
  <si>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</si>
  <si>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</si>
  <si>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</si>
  <si>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в том числе добровольные пожертвования на благоустройство берега реки Горелый крест</t>
  </si>
  <si>
    <t>Оказание услуг по транспортировке тел умерших (Закупка товаров, работ и услуг для государственных (муниципальных) нужд)</t>
  </si>
  <si>
    <t>99 9 00 20600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</si>
  <si>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</si>
  <si>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</si>
  <si>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</si>
  <si>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</si>
  <si>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</si>
  <si>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</si>
  <si>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</si>
  <si>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</si>
  <si>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</si>
  <si>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</si>
  <si>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</si>
  <si>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</si>
  <si>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</si>
  <si>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</si>
  <si>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</si>
  <si>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</si>
  <si>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</si>
  <si>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</si>
  <si>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</si>
  <si>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</si>
  <si>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15 0 03 L519F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</si>
  <si>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</si>
  <si>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</si>
  <si>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r>
      <rPr>
        <sz val="12"/>
        <color indexed="8"/>
        <rFont val="Times New Roman"/>
        <family val="1"/>
      </rPr>
      <t>Субсидии на комплектование книжных фондов муниципальных библиотек области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</si>
  <si>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15 0 03 75190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</si>
  <si>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</si>
  <si>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</si>
  <si>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</si>
  <si>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</si>
  <si>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</si>
  <si>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</si>
  <si>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</si>
  <si>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</si>
  <si>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</si>
  <si>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</si>
  <si>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</si>
  <si>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</si>
  <si>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</si>
  <si>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</si>
  <si>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</si>
  <si>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</si>
  <si>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</si>
  <si>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</si>
  <si>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</si>
  <si>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</si>
  <si>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</si>
  <si>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</si>
  <si>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</si>
  <si>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</si>
  <si>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</si>
  <si>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</si>
  <si>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</si>
  <si>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Нов -0,08855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</si>
  <si>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</si>
  <si>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</si>
  <si>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</si>
  <si>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</si>
  <si>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</si>
  <si>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</si>
  <si>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</si>
  <si>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</si>
  <si>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</si>
  <si>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</si>
  <si>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</si>
  <si>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</si>
  <si>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</si>
  <si>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18 0 02 72000</t>
  </si>
  <si>
    <t>Массовый спорт</t>
  </si>
  <si>
    <t>Основное мероприятие «Реконструкция стадиона МБУ «СДЮСОЦ» города Струнино</t>
  </si>
  <si>
    <t xml:space="preserve">18 0 02 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</si>
  <si>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</si>
  <si>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</si>
  <si>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</si>
  <si>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ИТОГО расходов</t>
  </si>
  <si>
    <t>Ремонт жилых и нежилых зданий, помещений  (Закупка товаров, работ и услуг для государственных (муниципальных) нужд)</t>
  </si>
  <si>
    <t>Нов 1250,9-    2 выкупа (реш.суда)</t>
  </si>
  <si>
    <t>500,0-перер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</si>
  <si>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</si>
  <si>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Муниципальная программа «Модернизация объектов коммунальной инфраструктуры муниципального образования город Струнино»</t>
  </si>
  <si>
    <t>28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</si>
  <si>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 т.ч. в кризисном финансово-экономическом состоянии, ставящим под угрозу бесперебойное оказание коммунальных услуг»</t>
  </si>
  <si>
    <t>28 1 03</t>
  </si>
  <si>
    <t>Расходы на формирование уставных фондов муниципальных унитарных предприятий (Субсидии на софинансирование операционной деятельности и 
развития муниципальных предприятий (учреждений),
оказывающих услуги по теплоснабжению и (или) горячему 
водоснабжению и находящихся, в т.ч. в кризисном 
финансово-экономическом состоянии, ставящих 
под угрозу бесперебойное оказание коммунальных услуг 
 (Иные бюджетные ассигнования)</t>
  </si>
  <si>
    <t>18 0 0 1 20180</t>
  </si>
  <si>
    <t>28 1 03 S1580</t>
  </si>
  <si>
    <t>плюс 68,00778, плюс 50659,22-из к.р.</t>
  </si>
  <si>
    <t>минус 68,00778</t>
  </si>
  <si>
    <t>снять 76248,11</t>
  </si>
  <si>
    <t>снять по увед.  3244,5</t>
  </si>
  <si>
    <t>снять по увед.  49,7</t>
  </si>
  <si>
    <t>снять под увед.  16,5</t>
  </si>
  <si>
    <t>минус 50,65922 в переселение</t>
  </si>
  <si>
    <t>снять 3,0</t>
  </si>
  <si>
    <t>плюс 6</t>
  </si>
  <si>
    <t>минус 6,0; снять 8,36833</t>
  </si>
  <si>
    <t>минус 105, в опиловку; плюс 0,199 в знаки</t>
  </si>
  <si>
    <t>плюс 105,0; 77,67385</t>
  </si>
  <si>
    <t xml:space="preserve">минус 0,199 в знаки; плюс в содерж. 77,67385 </t>
  </si>
  <si>
    <t>снять 1,0</t>
  </si>
  <si>
    <t>минус 68,3</t>
  </si>
  <si>
    <t>снять 0,246</t>
  </si>
  <si>
    <t>минус 41,00589; 7,279; 3,27848</t>
  </si>
  <si>
    <t>плюс 51,56337</t>
  </si>
  <si>
    <t>минус 10</t>
  </si>
  <si>
    <t>плюс 78,3</t>
  </si>
  <si>
    <t>снять 20,0</t>
  </si>
  <si>
    <t>минус 111,724- экономия</t>
  </si>
  <si>
    <t>минус 53,476; 3,59213- экономия</t>
  </si>
  <si>
    <t>плюс 165,2 доля мб</t>
  </si>
  <si>
    <t>минус экономия от мк 211,90184; плюс 66,4 (стройконтроль)</t>
  </si>
  <si>
    <t>минус 66,4 кр, плюс 22,31729</t>
  </si>
  <si>
    <t>плюс 189,58455</t>
  </si>
  <si>
    <t>снять 21,6-экономия</t>
  </si>
  <si>
    <t>18 0 02 S1390</t>
  </si>
  <si>
    <t>Основное мероприятие «Содержание объектов спортивной инфраструктуры»</t>
  </si>
  <si>
    <t xml:space="preserve">Приложение №2 
к решению Совета народных депутатов города Струнино                                                       
от 29.12.2022                  №68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</si>
</sst>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00"/>
    <numFmt numFmtId="166" formatCode="0000000"/>
    <numFmt numFmtId="167" formatCode="000"/>
    <numFmt numFmtId="168" formatCode="0.000"/>
    <numFmt numFmtId="169" formatCode="0.0000"/>
    <numFmt numFmtId="170" formatCode="0.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3" applyNumberFormat="0" applyAlignment="0" applyProtection="0"/>
    <xf numFmtId="0" fontId="49" fillId="34" borderId="4" applyNumberFormat="0" applyAlignment="0" applyProtection="0"/>
    <xf numFmtId="0" fontId="50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5" borderId="9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9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5" fillId="40" borderId="0" xfId="0" applyFont="1" applyFill="1" applyAlignment="1">
      <alignment/>
    </xf>
    <xf numFmtId="164" fontId="15" fillId="40" borderId="0" xfId="0" applyNumberFormat="1" applyFont="1" applyFill="1" applyAlignment="1">
      <alignment/>
    </xf>
    <xf numFmtId="165" fontId="15" fillId="4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>
      <alignment/>
    </xf>
    <xf numFmtId="0" fontId="0" fillId="41" borderId="0" xfId="0" applyFill="1" applyAlignment="1">
      <alignment/>
    </xf>
    <xf numFmtId="0" fontId="9" fillId="41" borderId="0" xfId="0" applyFont="1" applyFill="1" applyAlignment="1">
      <alignment vertical="center"/>
    </xf>
    <xf numFmtId="0" fontId="17" fillId="41" borderId="0" xfId="0" applyFont="1" applyFill="1" applyAlignment="1">
      <alignment vertical="center" wrapText="1"/>
    </xf>
    <xf numFmtId="0" fontId="16" fillId="41" borderId="0" xfId="0" applyFont="1" applyFill="1" applyBorder="1" applyAlignment="1">
      <alignment horizontal="center" vertical="center" wrapText="1"/>
    </xf>
    <xf numFmtId="164" fontId="16" fillId="41" borderId="0" xfId="0" applyNumberFormat="1" applyFont="1" applyFill="1" applyBorder="1" applyAlignment="1">
      <alignment horizontal="center" vertical="center" wrapText="1"/>
    </xf>
    <xf numFmtId="165" fontId="0" fillId="41" borderId="0" xfId="0" applyNumberFormat="1" applyFill="1" applyBorder="1" applyAlignment="1">
      <alignment/>
    </xf>
    <xf numFmtId="0" fontId="18" fillId="41" borderId="0" xfId="0" applyFont="1" applyFill="1" applyAlignment="1">
      <alignment/>
    </xf>
    <xf numFmtId="0" fontId="19" fillId="41" borderId="0" xfId="0" applyFont="1" applyFill="1" applyAlignment="1">
      <alignment/>
    </xf>
    <xf numFmtId="164" fontId="19" fillId="41" borderId="0" xfId="0" applyNumberFormat="1" applyFont="1" applyFill="1" applyAlignment="1">
      <alignment/>
    </xf>
    <xf numFmtId="165" fontId="19" fillId="41" borderId="0" xfId="0" applyNumberFormat="1" applyFont="1" applyFill="1" applyBorder="1" applyAlignment="1">
      <alignment/>
    </xf>
    <xf numFmtId="49" fontId="9" fillId="42" borderId="2" xfId="0" applyNumberFormat="1" applyFont="1" applyFill="1" applyBorder="1" applyAlignment="1">
      <alignment horizontal="center" vertical="center" wrapText="1"/>
    </xf>
    <xf numFmtId="49" fontId="9" fillId="42" borderId="14" xfId="0" applyNumberFormat="1" applyFont="1" applyFill="1" applyBorder="1" applyAlignment="1">
      <alignment horizontal="left" vertical="center" wrapText="1"/>
    </xf>
    <xf numFmtId="2" fontId="19" fillId="41" borderId="2" xfId="0" applyNumberFormat="1" applyFont="1" applyFill="1" applyBorder="1" applyAlignment="1">
      <alignment horizontal="center" vertical="center" wrapText="1"/>
    </xf>
    <xf numFmtId="49" fontId="18" fillId="42" borderId="2" xfId="0" applyNumberFormat="1" applyFont="1" applyFill="1" applyBorder="1" applyAlignment="1">
      <alignment horizontal="center" vertical="center" wrapText="1"/>
    </xf>
    <xf numFmtId="49" fontId="9" fillId="41" borderId="2" xfId="0" applyNumberFormat="1" applyFont="1" applyFill="1" applyBorder="1" applyAlignment="1">
      <alignment horizontal="center" vertical="center" wrapText="1"/>
    </xf>
    <xf numFmtId="49" fontId="9" fillId="41" borderId="14" xfId="0" applyNumberFormat="1" applyFont="1" applyFill="1" applyBorder="1" applyAlignment="1">
      <alignment horizontal="left" vertical="center" wrapText="1"/>
    </xf>
    <xf numFmtId="2" fontId="19" fillId="41" borderId="14" xfId="0" applyNumberFormat="1" applyFont="1" applyFill="1" applyBorder="1" applyAlignment="1">
      <alignment horizontal="center" vertical="center" wrapText="1"/>
    </xf>
    <xf numFmtId="49" fontId="18" fillId="41" borderId="2" xfId="0" applyNumberFormat="1" applyFont="1" applyFill="1" applyBorder="1" applyAlignment="1">
      <alignment horizontal="center" vertical="center" wrapText="1"/>
    </xf>
    <xf numFmtId="49" fontId="18" fillId="41" borderId="14" xfId="0" applyNumberFormat="1" applyFont="1" applyFill="1" applyBorder="1" applyAlignment="1">
      <alignment horizontal="left" vertical="center" wrapText="1"/>
    </xf>
    <xf numFmtId="168" fontId="19" fillId="41" borderId="14" xfId="0" applyNumberFormat="1" applyFont="1" applyFill="1" applyBorder="1" applyAlignment="1">
      <alignment horizontal="center" vertical="center" wrapText="1"/>
    </xf>
    <xf numFmtId="168" fontId="19" fillId="41" borderId="2" xfId="0" applyNumberFormat="1" applyFont="1" applyFill="1" applyBorder="1" applyAlignment="1">
      <alignment horizontal="center" vertical="center" wrapText="1"/>
    </xf>
    <xf numFmtId="49" fontId="22" fillId="42" borderId="2" xfId="0" applyNumberFormat="1" applyFont="1" applyFill="1" applyBorder="1" applyAlignment="1">
      <alignment horizontal="center" vertical="center" wrapText="1"/>
    </xf>
    <xf numFmtId="49" fontId="22" fillId="42" borderId="14" xfId="0" applyNumberFormat="1" applyFont="1" applyFill="1" applyBorder="1" applyAlignment="1">
      <alignment horizontal="left" vertical="center" wrapText="1"/>
    </xf>
    <xf numFmtId="2" fontId="21" fillId="41" borderId="2" xfId="0" applyNumberFormat="1" applyFont="1" applyFill="1" applyBorder="1" applyAlignment="1">
      <alignment horizontal="center" vertical="center" wrapText="1"/>
    </xf>
    <xf numFmtId="164" fontId="21" fillId="41" borderId="2" xfId="0" applyNumberFormat="1" applyFont="1" applyFill="1" applyBorder="1" applyAlignment="1">
      <alignment horizontal="center" vertical="center" wrapText="1"/>
    </xf>
    <xf numFmtId="165" fontId="21" fillId="41" borderId="2" xfId="0" applyNumberFormat="1" applyFont="1" applyFill="1" applyBorder="1" applyAlignment="1">
      <alignment horizontal="center" vertical="center" wrapText="1"/>
    </xf>
    <xf numFmtId="168" fontId="21" fillId="41" borderId="14" xfId="0" applyNumberFormat="1" applyFont="1" applyFill="1" applyBorder="1" applyAlignment="1">
      <alignment horizontal="center" vertical="center" wrapText="1"/>
    </xf>
    <xf numFmtId="164" fontId="21" fillId="41" borderId="14" xfId="0" applyNumberFormat="1" applyFont="1" applyFill="1" applyBorder="1" applyAlignment="1">
      <alignment horizontal="center" vertical="center" wrapText="1"/>
    </xf>
    <xf numFmtId="168" fontId="21" fillId="41" borderId="2" xfId="0" applyNumberFormat="1" applyFont="1" applyFill="1" applyBorder="1" applyAlignment="1">
      <alignment horizontal="center" vertical="center" wrapText="1"/>
    </xf>
    <xf numFmtId="49" fontId="18" fillId="42" borderId="14" xfId="0" applyNumberFormat="1" applyFont="1" applyFill="1" applyBorder="1" applyAlignment="1">
      <alignment horizontal="left" vertical="center" wrapText="1"/>
    </xf>
    <xf numFmtId="2" fontId="21" fillId="41" borderId="14" xfId="0" applyNumberFormat="1" applyFont="1" applyFill="1" applyBorder="1" applyAlignment="1">
      <alignment horizontal="center" vertical="center" wrapText="1"/>
    </xf>
    <xf numFmtId="169" fontId="21" fillId="41" borderId="14" xfId="0" applyNumberFormat="1" applyFont="1" applyFill="1" applyBorder="1" applyAlignment="1">
      <alignment horizontal="center" vertical="center" wrapText="1"/>
    </xf>
    <xf numFmtId="49" fontId="22" fillId="41" borderId="2" xfId="0" applyNumberFormat="1" applyFont="1" applyFill="1" applyBorder="1" applyAlignment="1">
      <alignment horizontal="center" vertical="center"/>
    </xf>
    <xf numFmtId="49" fontId="22" fillId="41" borderId="14" xfId="0" applyNumberFormat="1" applyFont="1" applyFill="1" applyBorder="1" applyAlignment="1">
      <alignment horizontal="left" vertical="center"/>
    </xf>
    <xf numFmtId="49" fontId="21" fillId="41" borderId="14" xfId="0" applyNumberFormat="1" applyFont="1" applyFill="1" applyBorder="1" applyAlignment="1">
      <alignment horizontal="left" vertical="center" wrapText="1"/>
    </xf>
    <xf numFmtId="165" fontId="21" fillId="41" borderId="14" xfId="0" applyNumberFormat="1" applyFont="1" applyFill="1" applyBorder="1" applyAlignment="1">
      <alignment horizontal="center" vertical="center" wrapText="1"/>
    </xf>
    <xf numFmtId="49" fontId="21" fillId="41" borderId="15" xfId="0" applyNumberFormat="1" applyFont="1" applyFill="1" applyBorder="1" applyAlignment="1">
      <alignment horizontal="left" vertical="center" wrapText="1"/>
    </xf>
    <xf numFmtId="49" fontId="22" fillId="41" borderId="16" xfId="0" applyNumberFormat="1" applyFont="1" applyFill="1" applyBorder="1" applyAlignment="1">
      <alignment horizontal="center" vertical="center"/>
    </xf>
    <xf numFmtId="49" fontId="22" fillId="41" borderId="15" xfId="0" applyNumberFormat="1" applyFont="1" applyFill="1" applyBorder="1" applyAlignment="1">
      <alignment horizontal="left" vertical="center"/>
    </xf>
    <xf numFmtId="49" fontId="18" fillId="41" borderId="2" xfId="0" applyNumberFormat="1" applyFont="1" applyFill="1" applyBorder="1" applyAlignment="1">
      <alignment horizontal="center" vertical="center"/>
    </xf>
    <xf numFmtId="49" fontId="18" fillId="41" borderId="14" xfId="0" applyNumberFormat="1" applyFont="1" applyFill="1" applyBorder="1" applyAlignment="1">
      <alignment horizontal="left" vertical="center"/>
    </xf>
    <xf numFmtId="49" fontId="22" fillId="41" borderId="17" xfId="0" applyNumberFormat="1" applyFont="1" applyFill="1" applyBorder="1" applyAlignment="1">
      <alignment horizontal="center" vertical="center"/>
    </xf>
    <xf numFmtId="49" fontId="22" fillId="41" borderId="18" xfId="0" applyNumberFormat="1" applyFont="1" applyFill="1" applyBorder="1" applyAlignment="1">
      <alignment horizontal="left" vertical="center"/>
    </xf>
    <xf numFmtId="164" fontId="21" fillId="43" borderId="14" xfId="0" applyNumberFormat="1" applyFont="1" applyFill="1" applyBorder="1" applyAlignment="1">
      <alignment horizontal="center" vertical="center" wrapText="1"/>
    </xf>
    <xf numFmtId="49" fontId="19" fillId="41" borderId="16" xfId="0" applyNumberFormat="1" applyFont="1" applyFill="1" applyBorder="1" applyAlignment="1">
      <alignment horizontal="center" vertical="top" wrapText="1"/>
    </xf>
    <xf numFmtId="49" fontId="19" fillId="41" borderId="14" xfId="0" applyNumberFormat="1" applyFont="1" applyFill="1" applyBorder="1" applyAlignment="1">
      <alignment horizontal="left" vertical="top"/>
    </xf>
    <xf numFmtId="49" fontId="18" fillId="41" borderId="2" xfId="0" applyNumberFormat="1" applyFont="1" applyFill="1" applyBorder="1" applyAlignment="1">
      <alignment horizontal="center" vertical="top"/>
    </xf>
    <xf numFmtId="49" fontId="21" fillId="41" borderId="16" xfId="0" applyNumberFormat="1" applyFont="1" applyFill="1" applyBorder="1" applyAlignment="1">
      <alignment horizontal="center" vertical="top" wrapText="1"/>
    </xf>
    <xf numFmtId="49" fontId="21" fillId="41" borderId="14" xfId="0" applyNumberFormat="1" applyFont="1" applyFill="1" applyBorder="1" applyAlignment="1">
      <alignment horizontal="left" vertical="top"/>
    </xf>
    <xf numFmtId="49" fontId="22" fillId="41" borderId="2" xfId="0" applyNumberFormat="1" applyFont="1" applyFill="1" applyBorder="1" applyAlignment="1">
      <alignment horizontal="center" vertical="top"/>
    </xf>
    <xf numFmtId="49" fontId="22" fillId="41" borderId="14" xfId="102" applyNumberFormat="1" applyFont="1" applyFill="1" applyBorder="1" applyAlignment="1">
      <alignment horizontal="left" vertical="center"/>
      <protection/>
    </xf>
    <xf numFmtId="49" fontId="21" fillId="41" borderId="14" xfId="0" applyNumberFormat="1" applyFont="1" applyFill="1" applyBorder="1" applyAlignment="1">
      <alignment horizontal="left" vertical="center"/>
    </xf>
    <xf numFmtId="49" fontId="21" fillId="41" borderId="2" xfId="0" applyNumberFormat="1" applyFont="1" applyFill="1" applyBorder="1" applyAlignment="1">
      <alignment horizontal="center" vertical="center"/>
    </xf>
    <xf numFmtId="49" fontId="19" fillId="41" borderId="2" xfId="0" applyNumberFormat="1" applyFont="1" applyFill="1" applyBorder="1" applyAlignment="1">
      <alignment horizontal="center" vertical="center" wrapText="1"/>
    </xf>
    <xf numFmtId="49" fontId="19" fillId="41" borderId="14" xfId="0" applyNumberFormat="1" applyFont="1" applyFill="1" applyBorder="1" applyAlignment="1">
      <alignment horizontal="left" vertical="center" wrapText="1"/>
    </xf>
    <xf numFmtId="49" fontId="21" fillId="41" borderId="2" xfId="0" applyNumberFormat="1" applyFont="1" applyFill="1" applyBorder="1" applyAlignment="1">
      <alignment horizontal="center" vertical="center" wrapText="1"/>
    </xf>
    <xf numFmtId="49" fontId="22" fillId="41" borderId="19" xfId="0" applyNumberFormat="1" applyFont="1" applyFill="1" applyBorder="1" applyAlignment="1">
      <alignment horizontal="center" vertical="center"/>
    </xf>
    <xf numFmtId="49" fontId="22" fillId="41" borderId="20" xfId="0" applyNumberFormat="1" applyFont="1" applyFill="1" applyBorder="1" applyAlignment="1">
      <alignment horizontal="center" vertical="center"/>
    </xf>
    <xf numFmtId="49" fontId="22" fillId="41" borderId="2" xfId="0" applyNumberFormat="1" applyFont="1" applyFill="1" applyBorder="1" applyAlignment="1">
      <alignment horizontal="left" vertical="center"/>
    </xf>
    <xf numFmtId="2" fontId="21" fillId="41" borderId="19" xfId="0" applyNumberFormat="1" applyFont="1" applyFill="1" applyBorder="1" applyAlignment="1">
      <alignment horizontal="center" vertical="center" wrapText="1"/>
    </xf>
    <xf numFmtId="49" fontId="21" fillId="41" borderId="2" xfId="0" applyNumberFormat="1" applyFont="1" applyFill="1" applyBorder="1" applyAlignment="1">
      <alignment horizontal="left" vertical="center"/>
    </xf>
    <xf numFmtId="49" fontId="22" fillId="41" borderId="21" xfId="0" applyNumberFormat="1" applyFont="1" applyFill="1" applyBorder="1" applyAlignment="1">
      <alignment horizontal="center" vertical="center"/>
    </xf>
    <xf numFmtId="49" fontId="24" fillId="41" borderId="2" xfId="0" applyNumberFormat="1" applyFont="1" applyFill="1" applyBorder="1" applyAlignment="1">
      <alignment horizontal="center" vertical="center"/>
    </xf>
    <xf numFmtId="49" fontId="25" fillId="41" borderId="2" xfId="0" applyNumberFormat="1" applyFont="1" applyFill="1" applyBorder="1" applyAlignment="1">
      <alignment horizontal="left" vertical="center"/>
    </xf>
    <xf numFmtId="49" fontId="24" fillId="41" borderId="21" xfId="0" applyNumberFormat="1" applyFont="1" applyFill="1" applyBorder="1" applyAlignment="1">
      <alignment horizontal="center" vertical="center"/>
    </xf>
    <xf numFmtId="49" fontId="22" fillId="41" borderId="22" xfId="0" applyNumberFormat="1" applyFont="1" applyFill="1" applyBorder="1" applyAlignment="1">
      <alignment horizontal="center" vertical="center"/>
    </xf>
    <xf numFmtId="49" fontId="21" fillId="41" borderId="16" xfId="0" applyNumberFormat="1" applyFont="1" applyFill="1" applyBorder="1" applyAlignment="1">
      <alignment horizontal="center" vertical="center"/>
    </xf>
    <xf numFmtId="49" fontId="19" fillId="41" borderId="19" xfId="0" applyNumberFormat="1" applyFont="1" applyFill="1" applyBorder="1" applyAlignment="1">
      <alignment horizontal="center" vertical="center"/>
    </xf>
    <xf numFmtId="49" fontId="19" fillId="41" borderId="2" xfId="0" applyNumberFormat="1" applyFont="1" applyFill="1" applyBorder="1" applyAlignment="1">
      <alignment horizontal="center" vertical="center"/>
    </xf>
    <xf numFmtId="49" fontId="19" fillId="41" borderId="14" xfId="0" applyNumberFormat="1" applyFont="1" applyFill="1" applyBorder="1" applyAlignment="1">
      <alignment horizontal="left" vertical="center"/>
    </xf>
    <xf numFmtId="49" fontId="21" fillId="41" borderId="20" xfId="0" applyNumberFormat="1" applyFont="1" applyFill="1" applyBorder="1" applyAlignment="1">
      <alignment horizontal="center" vertical="center"/>
    </xf>
    <xf numFmtId="49" fontId="21" fillId="41" borderId="15" xfId="0" applyNumberFormat="1" applyFont="1" applyFill="1" applyBorder="1" applyAlignment="1">
      <alignment horizontal="left" vertical="center"/>
    </xf>
    <xf numFmtId="2" fontId="21" fillId="42" borderId="2" xfId="0" applyNumberFormat="1" applyFont="1" applyFill="1" applyBorder="1" applyAlignment="1">
      <alignment horizontal="center" vertical="center" wrapText="1"/>
    </xf>
    <xf numFmtId="2" fontId="21" fillId="42" borderId="14" xfId="0" applyNumberFormat="1" applyFont="1" applyFill="1" applyBorder="1" applyAlignment="1">
      <alignment horizontal="center" vertical="center" wrapText="1"/>
    </xf>
    <xf numFmtId="168" fontId="21" fillId="43" borderId="14" xfId="0" applyNumberFormat="1" applyFont="1" applyFill="1" applyBorder="1" applyAlignment="1">
      <alignment horizontal="center" vertical="center" wrapText="1"/>
    </xf>
    <xf numFmtId="49" fontId="21" fillId="41" borderId="14" xfId="0" applyNumberFormat="1" applyFont="1" applyFill="1" applyBorder="1" applyAlignment="1">
      <alignment horizontal="center" vertical="center"/>
    </xf>
    <xf numFmtId="49" fontId="18" fillId="41" borderId="17" xfId="0" applyNumberFormat="1" applyFont="1" applyFill="1" applyBorder="1" applyAlignment="1">
      <alignment horizontal="center" vertical="center"/>
    </xf>
    <xf numFmtId="49" fontId="19" fillId="41" borderId="18" xfId="0" applyNumberFormat="1" applyFont="1" applyFill="1" applyBorder="1" applyAlignment="1">
      <alignment horizontal="left" vertical="center"/>
    </xf>
    <xf numFmtId="49" fontId="24" fillId="41" borderId="14" xfId="0" applyNumberFormat="1" applyFont="1" applyFill="1" applyBorder="1" applyAlignment="1">
      <alignment horizontal="left" vertical="center"/>
    </xf>
    <xf numFmtId="2" fontId="25" fillId="41" borderId="2" xfId="0" applyNumberFormat="1" applyFont="1" applyFill="1" applyBorder="1" applyAlignment="1">
      <alignment horizontal="center" vertical="center" wrapText="1"/>
    </xf>
    <xf numFmtId="164" fontId="25" fillId="41" borderId="2" xfId="0" applyNumberFormat="1" applyFont="1" applyFill="1" applyBorder="1" applyAlignment="1">
      <alignment horizontal="center" vertical="center" wrapText="1"/>
    </xf>
    <xf numFmtId="165" fontId="25" fillId="41" borderId="2" xfId="0" applyNumberFormat="1" applyFont="1" applyFill="1" applyBorder="1" applyAlignment="1">
      <alignment horizontal="center" vertical="center" wrapText="1"/>
    </xf>
    <xf numFmtId="2" fontId="25" fillId="41" borderId="14" xfId="0" applyNumberFormat="1" applyFont="1" applyFill="1" applyBorder="1" applyAlignment="1">
      <alignment horizontal="center" vertical="center" wrapText="1"/>
    </xf>
    <xf numFmtId="165" fontId="19" fillId="41" borderId="14" xfId="0" applyNumberFormat="1" applyFont="1" applyFill="1" applyBorder="1" applyAlignment="1">
      <alignment horizontal="center" vertical="center" wrapText="1"/>
    </xf>
    <xf numFmtId="2" fontId="21" fillId="43" borderId="14" xfId="0" applyNumberFormat="1" applyFont="1" applyFill="1" applyBorder="1" applyAlignment="1">
      <alignment horizontal="center" vertical="center" wrapText="1"/>
    </xf>
    <xf numFmtId="2" fontId="25" fillId="44" borderId="14" xfId="0" applyNumberFormat="1" applyFont="1" applyFill="1" applyBorder="1" applyAlignment="1">
      <alignment horizontal="center" vertical="center" wrapText="1"/>
    </xf>
    <xf numFmtId="164" fontId="25" fillId="41" borderId="14" xfId="0" applyNumberFormat="1" applyFont="1" applyFill="1" applyBorder="1" applyAlignment="1">
      <alignment horizontal="center" vertical="center" wrapText="1"/>
    </xf>
    <xf numFmtId="49" fontId="18" fillId="41" borderId="19" xfId="0" applyNumberFormat="1" applyFont="1" applyFill="1" applyBorder="1" applyAlignment="1">
      <alignment horizontal="center" vertical="center"/>
    </xf>
    <xf numFmtId="49" fontId="21" fillId="41" borderId="18" xfId="0" applyNumberFormat="1" applyFont="1" applyFill="1" applyBorder="1" applyAlignment="1">
      <alignment horizontal="left" vertical="center"/>
    </xf>
    <xf numFmtId="0" fontId="15" fillId="41" borderId="0" xfId="0" applyFont="1" applyFill="1" applyAlignment="1">
      <alignment/>
    </xf>
    <xf numFmtId="164" fontId="15" fillId="41" borderId="0" xfId="0" applyNumberFormat="1" applyFont="1" applyFill="1" applyAlignment="1">
      <alignment/>
    </xf>
    <xf numFmtId="165" fontId="15" fillId="41" borderId="0" xfId="0" applyNumberFormat="1" applyFont="1" applyFill="1" applyBorder="1" applyAlignment="1">
      <alignment/>
    </xf>
    <xf numFmtId="49" fontId="21" fillId="41" borderId="16" xfId="0" applyNumberFormat="1" applyFont="1" applyFill="1" applyBorder="1" applyAlignment="1">
      <alignment horizontal="center" vertical="center" wrapText="1"/>
    </xf>
    <xf numFmtId="169" fontId="19" fillId="41" borderId="14" xfId="0" applyNumberFormat="1" applyFont="1" applyFill="1" applyBorder="1" applyAlignment="1">
      <alignment horizontal="center" vertical="center" wrapText="1"/>
    </xf>
    <xf numFmtId="164" fontId="19" fillId="41" borderId="2" xfId="0" applyNumberFormat="1" applyFont="1" applyFill="1" applyBorder="1" applyAlignment="1">
      <alignment horizontal="center" vertical="center" wrapText="1"/>
    </xf>
    <xf numFmtId="165" fontId="19" fillId="41" borderId="2" xfId="0" applyNumberFormat="1" applyFont="1" applyFill="1" applyBorder="1" applyAlignment="1">
      <alignment horizontal="center" vertical="center" wrapText="1"/>
    </xf>
    <xf numFmtId="164" fontId="19" fillId="41" borderId="14" xfId="0" applyNumberFormat="1" applyFont="1" applyFill="1" applyBorder="1" applyAlignment="1">
      <alignment horizontal="center" vertical="center" wrapText="1"/>
    </xf>
    <xf numFmtId="169" fontId="21" fillId="42" borderId="14" xfId="0" applyNumberFormat="1" applyFont="1" applyFill="1" applyBorder="1" applyAlignment="1">
      <alignment horizontal="center" vertical="center" wrapText="1"/>
    </xf>
    <xf numFmtId="49" fontId="18" fillId="40" borderId="14" xfId="0" applyNumberFormat="1" applyFont="1" applyFill="1" applyBorder="1" applyAlignment="1">
      <alignment horizontal="center" vertical="center" wrapText="1"/>
    </xf>
    <xf numFmtId="0" fontId="18" fillId="42" borderId="23" xfId="0" applyFont="1" applyFill="1" applyBorder="1" applyAlignment="1">
      <alignment horizontal="left" vertical="top" wrapText="1"/>
    </xf>
    <xf numFmtId="164" fontId="19" fillId="0" borderId="24" xfId="0" applyNumberFormat="1" applyFont="1" applyFill="1" applyBorder="1" applyAlignment="1">
      <alignment horizontal="center" vertical="center" wrapText="1"/>
    </xf>
    <xf numFmtId="0" fontId="18" fillId="41" borderId="23" xfId="0" applyFont="1" applyFill="1" applyBorder="1" applyAlignment="1">
      <alignment horizontal="left" vertical="top" wrapText="1"/>
    </xf>
    <xf numFmtId="2" fontId="19" fillId="0" borderId="24" xfId="0" applyNumberFormat="1" applyFont="1" applyFill="1" applyBorder="1" applyAlignment="1">
      <alignment horizontal="center" vertical="center" wrapText="1"/>
    </xf>
    <xf numFmtId="168" fontId="19" fillId="0" borderId="24" xfId="0" applyNumberFormat="1" applyFont="1" applyFill="1" applyBorder="1" applyAlignment="1">
      <alignment horizontal="center" vertical="center" wrapText="1"/>
    </xf>
    <xf numFmtId="0" fontId="21" fillId="41" borderId="23" xfId="0" applyFont="1" applyFill="1" applyBorder="1" applyAlignment="1">
      <alignment horizontal="left" vertical="top" wrapText="1"/>
    </xf>
    <xf numFmtId="168" fontId="21" fillId="0" borderId="24" xfId="0" applyNumberFormat="1" applyFont="1" applyFill="1" applyBorder="1" applyAlignment="1">
      <alignment horizontal="center" vertical="center" wrapText="1"/>
    </xf>
    <xf numFmtId="0" fontId="21" fillId="41" borderId="23" xfId="0" applyNumberFormat="1" applyFont="1" applyFill="1" applyBorder="1" applyAlignment="1">
      <alignment vertical="top" wrapText="1"/>
    </xf>
    <xf numFmtId="2" fontId="21" fillId="0" borderId="24" xfId="0" applyNumberFormat="1" applyFont="1" applyFill="1" applyBorder="1" applyAlignment="1">
      <alignment horizontal="center" vertical="center" wrapText="1"/>
    </xf>
    <xf numFmtId="0" fontId="21" fillId="41" borderId="25" xfId="0" applyNumberFormat="1" applyFont="1" applyFill="1" applyBorder="1" applyAlignment="1">
      <alignment horizontal="left" vertical="top" wrapText="1"/>
    </xf>
    <xf numFmtId="0" fontId="19" fillId="41" borderId="23" xfId="0" applyFont="1" applyFill="1" applyBorder="1" applyAlignment="1">
      <alignment horizontal="left" vertical="top" wrapText="1"/>
    </xf>
    <xf numFmtId="0" fontId="22" fillId="42" borderId="23" xfId="0" applyFont="1" applyFill="1" applyBorder="1" applyAlignment="1">
      <alignment horizontal="left" vertical="top" wrapText="1"/>
    </xf>
    <xf numFmtId="49" fontId="22" fillId="41" borderId="23" xfId="0" applyNumberFormat="1" applyFont="1" applyFill="1" applyBorder="1" applyAlignment="1">
      <alignment horizontal="left" vertical="top" wrapText="1"/>
    </xf>
    <xf numFmtId="2" fontId="21" fillId="41" borderId="23" xfId="0" applyNumberFormat="1" applyFont="1" applyFill="1" applyBorder="1" applyAlignment="1">
      <alignment horizontal="left" vertical="top" wrapText="1"/>
    </xf>
    <xf numFmtId="0" fontId="21" fillId="41" borderId="23" xfId="0" applyNumberFormat="1" applyFont="1" applyFill="1" applyBorder="1" applyAlignment="1">
      <alignment horizontal="left" vertical="top" wrapText="1"/>
    </xf>
    <xf numFmtId="0" fontId="18" fillId="41" borderId="23" xfId="0" applyFont="1" applyFill="1" applyBorder="1" applyAlignment="1">
      <alignment horizontal="left" vertical="top"/>
    </xf>
    <xf numFmtId="0" fontId="22" fillId="41" borderId="23" xfId="0" applyFont="1" applyFill="1" applyBorder="1" applyAlignment="1">
      <alignment horizontal="left" vertical="top" wrapText="1"/>
    </xf>
    <xf numFmtId="0" fontId="21" fillId="41" borderId="26" xfId="0" applyNumberFormat="1" applyFont="1" applyFill="1" applyBorder="1" applyAlignment="1">
      <alignment horizontal="left" vertical="top" wrapText="1"/>
    </xf>
    <xf numFmtId="0" fontId="21" fillId="42" borderId="23" xfId="101" applyFont="1" applyFill="1" applyBorder="1" applyAlignment="1">
      <alignment horizontal="left" vertical="top" wrapText="1"/>
      <protection/>
    </xf>
    <xf numFmtId="0" fontId="19" fillId="41" borderId="23" xfId="0" applyNumberFormat="1" applyFont="1" applyFill="1" applyBorder="1" applyAlignment="1">
      <alignment horizontal="left" vertical="top" wrapText="1"/>
    </xf>
    <xf numFmtId="0" fontId="21" fillId="42" borderId="23" xfId="0" applyNumberFormat="1" applyFont="1" applyFill="1" applyBorder="1" applyAlignment="1">
      <alignment horizontal="left" vertical="top" wrapText="1"/>
    </xf>
    <xf numFmtId="0" fontId="21" fillId="42" borderId="23" xfId="0" applyFont="1" applyFill="1" applyBorder="1" applyAlignment="1">
      <alignment horizontal="left" vertical="top" wrapText="1"/>
    </xf>
    <xf numFmtId="0" fontId="19" fillId="42" borderId="23" xfId="0" applyFont="1" applyFill="1" applyBorder="1" applyAlignment="1">
      <alignment horizontal="left" vertical="top" wrapText="1"/>
    </xf>
    <xf numFmtId="49" fontId="19" fillId="41" borderId="23" xfId="0" applyNumberFormat="1" applyFont="1" applyFill="1" applyBorder="1" applyAlignment="1">
      <alignment horizontal="left" vertical="top" wrapText="1"/>
    </xf>
    <xf numFmtId="49" fontId="21" fillId="41" borderId="23" xfId="0" applyNumberFormat="1" applyFont="1" applyFill="1" applyBorder="1" applyAlignment="1">
      <alignment horizontal="left" vertical="top" wrapText="1"/>
    </xf>
    <xf numFmtId="0" fontId="23" fillId="41" borderId="23" xfId="0" applyFont="1" applyFill="1" applyBorder="1" applyAlignment="1">
      <alignment horizontal="left" vertical="top"/>
    </xf>
    <xf numFmtId="164" fontId="21" fillId="0" borderId="24" xfId="0" applyNumberFormat="1" applyFont="1" applyFill="1" applyBorder="1" applyAlignment="1">
      <alignment horizontal="center" vertical="center" wrapText="1"/>
    </xf>
    <xf numFmtId="0" fontId="24" fillId="42" borderId="23" xfId="0" applyFont="1" applyFill="1" applyBorder="1" applyAlignment="1">
      <alignment vertical="top" wrapText="1"/>
    </xf>
    <xf numFmtId="0" fontId="22" fillId="42" borderId="23" xfId="0" applyFont="1" applyFill="1" applyBorder="1" applyAlignment="1">
      <alignment vertical="top" wrapText="1"/>
    </xf>
    <xf numFmtId="0" fontId="21" fillId="41" borderId="25" xfId="0" applyFont="1" applyFill="1" applyBorder="1" applyAlignment="1">
      <alignment horizontal="left" vertical="top" wrapText="1"/>
    </xf>
    <xf numFmtId="0" fontId="24" fillId="44" borderId="23" xfId="0" applyFont="1" applyFill="1" applyBorder="1" applyAlignment="1">
      <alignment horizontal="left" vertical="top" wrapText="1"/>
    </xf>
    <xf numFmtId="0" fontId="21" fillId="41" borderId="26" xfId="0" applyFont="1" applyFill="1" applyBorder="1" applyAlignment="1">
      <alignment horizontal="left" vertical="top" wrapText="1"/>
    </xf>
    <xf numFmtId="0" fontId="24" fillId="41" borderId="23" xfId="0" applyFont="1" applyFill="1" applyBorder="1" applyAlignment="1">
      <alignment vertical="top" wrapText="1"/>
    </xf>
    <xf numFmtId="0" fontId="22" fillId="41" borderId="23" xfId="0" applyFont="1" applyFill="1" applyBorder="1" applyAlignment="1">
      <alignment vertical="top" wrapText="1"/>
    </xf>
    <xf numFmtId="0" fontId="18" fillId="41" borderId="26" xfId="0" applyFont="1" applyFill="1" applyBorder="1" applyAlignment="1">
      <alignment horizontal="left" vertical="top" wrapText="1"/>
    </xf>
    <xf numFmtId="0" fontId="22" fillId="41" borderId="23" xfId="0" applyFont="1" applyFill="1" applyBorder="1" applyAlignment="1">
      <alignment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19" fillId="42" borderId="26" xfId="0" applyNumberFormat="1" applyFont="1" applyFill="1" applyBorder="1" applyAlignment="1">
      <alignment horizontal="left" vertical="top" wrapText="1"/>
    </xf>
    <xf numFmtId="0" fontId="24" fillId="41" borderId="23" xfId="0" applyFont="1" applyFill="1" applyBorder="1" applyAlignment="1">
      <alignment horizontal="left" vertical="top" wrapText="1"/>
    </xf>
    <xf numFmtId="2" fontId="25" fillId="0" borderId="24" xfId="0" applyNumberFormat="1" applyFont="1" applyFill="1" applyBorder="1" applyAlignment="1">
      <alignment horizontal="center" vertical="center" wrapText="1"/>
    </xf>
    <xf numFmtId="0" fontId="19" fillId="42" borderId="23" xfId="0" applyNumberFormat="1" applyFont="1" applyFill="1" applyBorder="1" applyAlignment="1">
      <alignment horizontal="left" vertical="top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21" fillId="0" borderId="24" xfId="0" applyNumberFormat="1" applyFont="1" applyFill="1" applyBorder="1" applyAlignment="1">
      <alignment horizontal="center" vertical="center" wrapText="1"/>
    </xf>
    <xf numFmtId="0" fontId="21" fillId="42" borderId="23" xfId="0" applyFont="1" applyFill="1" applyBorder="1" applyAlignment="1">
      <alignment vertical="top" wrapText="1"/>
    </xf>
    <xf numFmtId="0" fontId="24" fillId="42" borderId="27" xfId="0" applyFont="1" applyFill="1" applyBorder="1" applyAlignment="1">
      <alignment vertical="top" wrapText="1"/>
    </xf>
    <xf numFmtId="0" fontId="18" fillId="41" borderId="23" xfId="0" applyFont="1" applyFill="1" applyBorder="1" applyAlignment="1">
      <alignment horizontal="left" vertical="center" wrapText="1"/>
    </xf>
    <xf numFmtId="0" fontId="18" fillId="41" borderId="25" xfId="0" applyFont="1" applyFill="1" applyBorder="1" applyAlignment="1">
      <alignment horizontal="left" vertical="top" wrapText="1"/>
    </xf>
    <xf numFmtId="0" fontId="22" fillId="41" borderId="25" xfId="0" applyFont="1" applyFill="1" applyBorder="1" applyAlignment="1">
      <alignment horizontal="left" vertical="top" wrapText="1"/>
    </xf>
    <xf numFmtId="0" fontId="21" fillId="42" borderId="23" xfId="0" applyNumberFormat="1" applyFont="1" applyFill="1" applyBorder="1" applyAlignment="1">
      <alignment vertical="top" wrapText="1"/>
    </xf>
    <xf numFmtId="0" fontId="21" fillId="42" borderId="25" xfId="0" applyNumberFormat="1" applyFont="1" applyFill="1" applyBorder="1" applyAlignment="1">
      <alignment vertical="top" wrapText="1"/>
    </xf>
    <xf numFmtId="0" fontId="21" fillId="41" borderId="23" xfId="0" applyFont="1" applyFill="1" applyBorder="1" applyAlignment="1">
      <alignment vertical="top" wrapText="1"/>
    </xf>
    <xf numFmtId="0" fontId="24" fillId="42" borderId="23" xfId="0" applyFont="1" applyFill="1" applyBorder="1" applyAlignment="1">
      <alignment wrapText="1"/>
    </xf>
    <xf numFmtId="0" fontId="22" fillId="41" borderId="23" xfId="0" applyFont="1" applyFill="1" applyBorder="1" applyAlignment="1">
      <alignment vertical="top" wrapText="1"/>
    </xf>
    <xf numFmtId="0" fontId="24" fillId="42" borderId="26" xfId="0" applyFont="1" applyFill="1" applyBorder="1" applyAlignment="1">
      <alignment wrapText="1"/>
    </xf>
    <xf numFmtId="0" fontId="24" fillId="42" borderId="28" xfId="0" applyFont="1" applyFill="1" applyBorder="1" applyAlignment="1">
      <alignment vertical="top" wrapText="1"/>
    </xf>
    <xf numFmtId="49" fontId="18" fillId="41" borderId="29" xfId="0" applyNumberFormat="1" applyFont="1" applyFill="1" applyBorder="1" applyAlignment="1" applyProtection="1">
      <alignment horizontal="left" vertical="top" wrapText="1"/>
      <protection/>
    </xf>
    <xf numFmtId="0" fontId="22" fillId="42" borderId="23" xfId="0" applyFont="1" applyFill="1" applyBorder="1" applyAlignment="1">
      <alignment vertical="top" wrapText="1"/>
    </xf>
    <xf numFmtId="0" fontId="26" fillId="41" borderId="30" xfId="0" applyFont="1" applyFill="1" applyBorder="1" applyAlignment="1">
      <alignment/>
    </xf>
    <xf numFmtId="0" fontId="26" fillId="41" borderId="31" xfId="0" applyFont="1" applyFill="1" applyBorder="1" applyAlignment="1">
      <alignment/>
    </xf>
    <xf numFmtId="0" fontId="26" fillId="41" borderId="32" xfId="0" applyFont="1" applyFill="1" applyBorder="1" applyAlignment="1">
      <alignment/>
    </xf>
    <xf numFmtId="2" fontId="27" fillId="41" borderId="31" xfId="0" applyNumberFormat="1" applyFont="1" applyFill="1" applyBorder="1" applyAlignment="1">
      <alignment horizontal="center"/>
    </xf>
    <xf numFmtId="164" fontId="27" fillId="41" borderId="31" xfId="0" applyNumberFormat="1" applyFont="1" applyFill="1" applyBorder="1" applyAlignment="1">
      <alignment horizontal="center"/>
    </xf>
    <xf numFmtId="165" fontId="27" fillId="41" borderId="31" xfId="0" applyNumberFormat="1" applyFont="1" applyFill="1" applyBorder="1" applyAlignment="1">
      <alignment horizontal="center"/>
    </xf>
    <xf numFmtId="164" fontId="27" fillId="41" borderId="32" xfId="0" applyNumberFormat="1" applyFont="1" applyFill="1" applyBorder="1" applyAlignment="1">
      <alignment horizontal="center"/>
    </xf>
    <xf numFmtId="164" fontId="27" fillId="0" borderId="33" xfId="0" applyNumberFormat="1" applyFont="1" applyFill="1" applyBorder="1" applyAlignment="1">
      <alignment horizontal="center"/>
    </xf>
    <xf numFmtId="164" fontId="19" fillId="41" borderId="14" xfId="0" applyNumberFormat="1" applyFont="1" applyFill="1" applyBorder="1" applyAlignment="1">
      <alignment horizontal="center" vertical="center" wrapText="1"/>
    </xf>
    <xf numFmtId="164" fontId="19" fillId="41" borderId="2" xfId="0" applyNumberFormat="1" applyFont="1" applyFill="1" applyBorder="1" applyAlignment="1">
      <alignment horizontal="center" vertical="center" wrapText="1"/>
    </xf>
    <xf numFmtId="0" fontId="19" fillId="40" borderId="34" xfId="0" applyNumberFormat="1" applyFont="1" applyFill="1" applyBorder="1" applyAlignment="1">
      <alignment horizontal="left" vertical="top" wrapText="1"/>
    </xf>
    <xf numFmtId="49" fontId="18" fillId="0" borderId="34" xfId="0" applyNumberFormat="1" applyFont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left" vertical="center"/>
    </xf>
    <xf numFmtId="0" fontId="21" fillId="40" borderId="34" xfId="0" applyNumberFormat="1" applyFont="1" applyFill="1" applyBorder="1" applyAlignment="1">
      <alignment horizontal="left" vertical="top" wrapText="1"/>
    </xf>
    <xf numFmtId="49" fontId="21" fillId="0" borderId="34" xfId="0" applyNumberFormat="1" applyFont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left" vertical="center"/>
    </xf>
    <xf numFmtId="0" fontId="21" fillId="40" borderId="34" xfId="0" applyFont="1" applyFill="1" applyBorder="1" applyAlignment="1">
      <alignment horizontal="left" vertical="top" wrapText="1"/>
    </xf>
    <xf numFmtId="0" fontId="22" fillId="42" borderId="23" xfId="0" applyFont="1" applyFill="1" applyBorder="1" applyAlignment="1">
      <alignment horizontal="left" vertical="top" wrapText="1"/>
    </xf>
    <xf numFmtId="2" fontId="22" fillId="41" borderId="34" xfId="0" applyNumberFormat="1" applyFont="1" applyFill="1" applyBorder="1" applyAlignment="1">
      <alignment horizontal="center" vertical="center"/>
    </xf>
    <xf numFmtId="2" fontId="21" fillId="41" borderId="24" xfId="0" applyNumberFormat="1" applyFont="1" applyFill="1" applyBorder="1" applyAlignment="1">
      <alignment horizontal="center" vertical="center" wrapText="1"/>
    </xf>
    <xf numFmtId="164" fontId="22" fillId="41" borderId="34" xfId="0" applyNumberFormat="1" applyFont="1" applyFill="1" applyBorder="1" applyAlignment="1">
      <alignment horizontal="center" vertical="center"/>
    </xf>
    <xf numFmtId="164" fontId="19" fillId="41" borderId="24" xfId="0" applyNumberFormat="1" applyFont="1" applyFill="1" applyBorder="1" applyAlignment="1">
      <alignment horizontal="center" vertical="center" wrapText="1"/>
    </xf>
    <xf numFmtId="2" fontId="19" fillId="41" borderId="24" xfId="0" applyNumberFormat="1" applyFont="1" applyFill="1" applyBorder="1" applyAlignment="1">
      <alignment horizontal="center" vertical="center" wrapText="1"/>
    </xf>
    <xf numFmtId="168" fontId="19" fillId="41" borderId="24" xfId="0" applyNumberFormat="1" applyFont="1" applyFill="1" applyBorder="1" applyAlignment="1">
      <alignment horizontal="center" vertical="center" wrapText="1"/>
    </xf>
    <xf numFmtId="168" fontId="21" fillId="41" borderId="24" xfId="0" applyNumberFormat="1" applyFont="1" applyFill="1" applyBorder="1" applyAlignment="1">
      <alignment horizontal="center" vertical="center" wrapText="1"/>
    </xf>
    <xf numFmtId="164" fontId="21" fillId="41" borderId="24" xfId="0" applyNumberFormat="1" applyFont="1" applyFill="1" applyBorder="1" applyAlignment="1">
      <alignment horizontal="center" vertical="center" wrapText="1"/>
    </xf>
    <xf numFmtId="169" fontId="21" fillId="41" borderId="24" xfId="0" applyNumberFormat="1" applyFont="1" applyFill="1" applyBorder="1" applyAlignment="1">
      <alignment horizontal="center" vertical="center" wrapText="1"/>
    </xf>
    <xf numFmtId="2" fontId="25" fillId="41" borderId="24" xfId="0" applyNumberFormat="1" applyFont="1" applyFill="1" applyBorder="1" applyAlignment="1">
      <alignment horizontal="center" vertical="center" wrapText="1"/>
    </xf>
    <xf numFmtId="165" fontId="19" fillId="41" borderId="24" xfId="0" applyNumberFormat="1" applyFont="1" applyFill="1" applyBorder="1" applyAlignment="1">
      <alignment horizontal="center" vertical="center" wrapText="1"/>
    </xf>
    <xf numFmtId="165" fontId="21" fillId="41" borderId="24" xfId="0" applyNumberFormat="1" applyFont="1" applyFill="1" applyBorder="1" applyAlignment="1">
      <alignment horizontal="center" vertical="center" wrapText="1"/>
    </xf>
    <xf numFmtId="164" fontId="27" fillId="41" borderId="33" xfId="0" applyNumberFormat="1" applyFont="1" applyFill="1" applyBorder="1" applyAlignment="1">
      <alignment horizontal="center"/>
    </xf>
    <xf numFmtId="0" fontId="22" fillId="41" borderId="0" xfId="0" applyFont="1" applyFill="1" applyAlignment="1">
      <alignment/>
    </xf>
    <xf numFmtId="168" fontId="22" fillId="41" borderId="34" xfId="0" applyNumberFormat="1" applyFont="1" applyFill="1" applyBorder="1" applyAlignment="1">
      <alignment horizontal="center" vertical="center"/>
    </xf>
    <xf numFmtId="164" fontId="18" fillId="41" borderId="34" xfId="0" applyNumberFormat="1" applyFont="1" applyFill="1" applyBorder="1" applyAlignment="1">
      <alignment horizontal="center" vertical="center"/>
    </xf>
    <xf numFmtId="168" fontId="18" fillId="41" borderId="34" xfId="0" applyNumberFormat="1" applyFont="1" applyFill="1" applyBorder="1" applyAlignment="1">
      <alignment horizontal="center" vertical="center"/>
    </xf>
    <xf numFmtId="2" fontId="18" fillId="41" borderId="34" xfId="0" applyNumberFormat="1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29" fillId="0" borderId="34" xfId="0" applyFont="1" applyBorder="1" applyAlignment="1">
      <alignment horizontal="center" vertical="center"/>
    </xf>
    <xf numFmtId="0" fontId="22" fillId="41" borderId="35" xfId="0" applyFont="1" applyFill="1" applyBorder="1" applyAlignment="1">
      <alignment horizontal="center" vertical="center"/>
    </xf>
    <xf numFmtId="0" fontId="22" fillId="41" borderId="36" xfId="0" applyFont="1" applyFill="1" applyBorder="1" applyAlignment="1">
      <alignment horizontal="center" vertical="center"/>
    </xf>
    <xf numFmtId="0" fontId="19" fillId="41" borderId="37" xfId="0" applyNumberFormat="1" applyFont="1" applyFill="1" applyBorder="1" applyAlignment="1">
      <alignment horizontal="center" vertical="center" wrapText="1"/>
    </xf>
    <xf numFmtId="0" fontId="19" fillId="41" borderId="38" xfId="0" applyNumberFormat="1" applyFont="1" applyFill="1" applyBorder="1" applyAlignment="1">
      <alignment horizontal="center" vertical="center" wrapText="1"/>
    </xf>
    <xf numFmtId="0" fontId="19" fillId="41" borderId="39" xfId="0" applyFont="1" applyFill="1" applyBorder="1" applyAlignment="1">
      <alignment horizontal="center" vertical="center" wrapText="1"/>
    </xf>
    <xf numFmtId="0" fontId="19" fillId="41" borderId="2" xfId="0" applyFont="1" applyFill="1" applyBorder="1" applyAlignment="1">
      <alignment horizontal="center" vertical="center" wrapText="1"/>
    </xf>
    <xf numFmtId="0" fontId="22" fillId="41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textRotation="90" wrapText="1"/>
    </xf>
    <xf numFmtId="0" fontId="18" fillId="42" borderId="40" xfId="0" applyFont="1" applyFill="1" applyBorder="1" applyAlignment="1">
      <alignment horizontal="center" vertical="center" wrapText="1"/>
    </xf>
    <xf numFmtId="0" fontId="18" fillId="42" borderId="23" xfId="0" applyFont="1" applyFill="1" applyBorder="1" applyAlignment="1">
      <alignment horizontal="center" vertical="center" wrapText="1"/>
    </xf>
    <xf numFmtId="49" fontId="20" fillId="41" borderId="39" xfId="0" applyNumberFormat="1" applyFont="1" applyFill="1" applyBorder="1" applyAlignment="1">
      <alignment horizontal="center" vertical="center" wrapText="1"/>
    </xf>
    <xf numFmtId="49" fontId="20" fillId="41" borderId="2" xfId="0" applyNumberFormat="1" applyFont="1" applyFill="1" applyBorder="1" applyAlignment="1">
      <alignment horizontal="center" vertical="center" wrapText="1"/>
    </xf>
    <xf numFmtId="166" fontId="20" fillId="41" borderId="41" xfId="0" applyNumberFormat="1" applyFont="1" applyFill="1" applyBorder="1" applyAlignment="1">
      <alignment horizontal="center" vertical="center" wrapText="1"/>
    </xf>
    <xf numFmtId="166" fontId="20" fillId="41" borderId="14" xfId="0" applyNumberFormat="1" applyFont="1" applyFill="1" applyBorder="1" applyAlignment="1">
      <alignment horizontal="center" vertical="center" wrapText="1"/>
    </xf>
    <xf numFmtId="167" fontId="20" fillId="41" borderId="39" xfId="0" applyNumberFormat="1" applyFont="1" applyFill="1" applyBorder="1" applyAlignment="1">
      <alignment horizontal="center" vertical="center" wrapText="1"/>
    </xf>
    <xf numFmtId="167" fontId="20" fillId="41" borderId="2" xfId="0" applyNumberFormat="1" applyFont="1" applyFill="1" applyBorder="1" applyAlignment="1">
      <alignment horizontal="center" vertical="center" wrapText="1"/>
    </xf>
    <xf numFmtId="0" fontId="28" fillId="41" borderId="0" xfId="0" applyFont="1" applyFill="1" applyBorder="1" applyAlignment="1">
      <alignment horizontal="center" vertical="center" wrapText="1"/>
    </xf>
    <xf numFmtId="0" fontId="28" fillId="41" borderId="0" xfId="0" applyFont="1" applyFill="1" applyBorder="1" applyAlignment="1">
      <alignment horizontal="center" wrapText="1"/>
    </xf>
    <xf numFmtId="164" fontId="19" fillId="41" borderId="39" xfId="0" applyNumberFormat="1" applyFont="1" applyFill="1" applyBorder="1" applyAlignment="1">
      <alignment horizontal="center" vertical="center" wrapText="1"/>
    </xf>
    <xf numFmtId="164" fontId="19" fillId="41" borderId="2" xfId="0" applyNumberFormat="1" applyFont="1" applyFill="1" applyBorder="1" applyAlignment="1">
      <alignment horizontal="center" vertical="center" wrapText="1"/>
    </xf>
    <xf numFmtId="165" fontId="19" fillId="41" borderId="39" xfId="0" applyNumberFormat="1" applyFont="1" applyFill="1" applyBorder="1" applyAlignment="1">
      <alignment horizontal="center" vertical="center" wrapText="1"/>
    </xf>
    <xf numFmtId="165" fontId="19" fillId="41" borderId="2" xfId="0" applyNumberFormat="1" applyFont="1" applyFill="1" applyBorder="1" applyAlignment="1">
      <alignment horizontal="center" vertical="center" wrapText="1"/>
    </xf>
    <xf numFmtId="164" fontId="19" fillId="41" borderId="41" xfId="0" applyNumberFormat="1" applyFont="1" applyFill="1" applyBorder="1" applyAlignment="1">
      <alignment horizontal="center" vertical="center" wrapText="1"/>
    </xf>
    <xf numFmtId="164" fontId="19" fillId="41" borderId="14" xfId="0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74"/>
  <sheetViews>
    <sheetView tabSelected="1" zoomScale="140" zoomScaleNormal="140" zoomScalePageLayoutView="0" workbookViewId="0" topLeftCell="A3">
      <selection activeCell="E3" sqref="E3:M4"/>
    </sheetView>
  </sheetViews>
  <sheetFormatPr defaultColWidth="8.140625" defaultRowHeight="15"/>
  <cols>
    <col min="1" max="1" width="6.57421875" style="0" customWidth="1"/>
    <col min="2" max="2" width="38.7109375" style="0" customWidth="1"/>
    <col min="3" max="3" width="6.7109375" style="0" customWidth="1"/>
    <col min="4" max="4" width="9.7109375" style="0" customWidth="1"/>
    <col min="5" max="5" width="16.421875" style="0" customWidth="1"/>
    <col min="6" max="6" width="9.140625" style="0" customWidth="1"/>
    <col min="7" max="7" width="12.00390625" style="1" hidden="1" customWidth="1"/>
    <col min="8" max="8" width="16.140625" style="2" hidden="1" customWidth="1"/>
    <col min="9" max="9" width="16.140625" style="3" hidden="1" customWidth="1"/>
    <col min="10" max="10" width="16.140625" style="2" hidden="1" customWidth="1"/>
    <col min="11" max="11" width="16.140625" style="3" hidden="1" customWidth="1"/>
    <col min="12" max="12" width="16.421875" style="0" hidden="1" customWidth="1"/>
    <col min="13" max="13" width="18.8515625" style="8" hidden="1" customWidth="1"/>
    <col min="14" max="19" width="0" style="0" hidden="1" customWidth="1"/>
    <col min="20" max="20" width="15.8515625" style="198" hidden="1" customWidth="1"/>
    <col min="21" max="21" width="17.7109375" style="11" hidden="1" customWidth="1"/>
    <col min="22" max="28" width="0" style="0" hidden="1" customWidth="1"/>
    <col min="29" max="29" width="11.421875" style="0" hidden="1" customWidth="1"/>
    <col min="30" max="30" width="16.00390625" style="0" customWidth="1"/>
  </cols>
  <sheetData>
    <row r="1" ht="3" customHeight="1" hidden="1"/>
    <row r="2" ht="15" customHeight="1" hidden="1"/>
    <row r="3" spans="2:16" ht="8.25" customHeight="1">
      <c r="B3" s="11"/>
      <c r="C3" s="11"/>
      <c r="D3" s="11"/>
      <c r="E3" s="223" t="s">
        <v>394</v>
      </c>
      <c r="F3" s="223"/>
      <c r="G3" s="223"/>
      <c r="H3" s="223"/>
      <c r="I3" s="223"/>
      <c r="J3" s="223"/>
      <c r="K3" s="223"/>
      <c r="L3" s="223"/>
      <c r="M3" s="223"/>
      <c r="N3" s="11"/>
      <c r="O3" s="11"/>
      <c r="P3" s="11"/>
    </row>
    <row r="4" spans="2:16" ht="46.5" customHeight="1">
      <c r="B4" s="11"/>
      <c r="C4" s="11"/>
      <c r="D4" s="11"/>
      <c r="E4" s="223"/>
      <c r="F4" s="223"/>
      <c r="G4" s="223"/>
      <c r="H4" s="223"/>
      <c r="I4" s="223"/>
      <c r="J4" s="223"/>
      <c r="K4" s="223"/>
      <c r="L4" s="223"/>
      <c r="M4" s="223"/>
      <c r="N4" s="11"/>
      <c r="O4" s="11"/>
      <c r="P4" s="11"/>
    </row>
    <row r="5" spans="2:16" ht="24.75" customHeight="1" hidden="1">
      <c r="B5" s="12"/>
      <c r="C5" s="11"/>
      <c r="D5" s="11"/>
      <c r="E5" s="222" t="s">
        <v>0</v>
      </c>
      <c r="F5" s="222"/>
      <c r="G5" s="222"/>
      <c r="H5" s="222"/>
      <c r="I5" s="222"/>
      <c r="J5" s="222"/>
      <c r="K5" s="222"/>
      <c r="L5" s="222"/>
      <c r="M5" s="222"/>
      <c r="N5" s="11"/>
      <c r="O5" s="11"/>
      <c r="P5" s="11"/>
    </row>
    <row r="6" spans="2:16" ht="52.5" customHeight="1">
      <c r="B6" s="13"/>
      <c r="C6" s="13"/>
      <c r="D6" s="13"/>
      <c r="E6" s="222"/>
      <c r="F6" s="222"/>
      <c r="G6" s="222"/>
      <c r="H6" s="222"/>
      <c r="I6" s="222"/>
      <c r="J6" s="222"/>
      <c r="K6" s="222"/>
      <c r="L6" s="222"/>
      <c r="M6" s="222"/>
      <c r="N6" s="11"/>
      <c r="O6" s="11"/>
      <c r="P6" s="11"/>
    </row>
    <row r="7" spans="2:16" ht="13.5" customHeight="1" hidden="1">
      <c r="B7" s="13"/>
      <c r="C7" s="13"/>
      <c r="D7" s="13"/>
      <c r="E7" s="14"/>
      <c r="F7" s="14"/>
      <c r="G7" s="14"/>
      <c r="H7" s="15"/>
      <c r="I7" s="16"/>
      <c r="J7" s="15"/>
      <c r="K7" s="16"/>
      <c r="L7" s="11"/>
      <c r="N7" s="11"/>
      <c r="O7" s="11"/>
      <c r="P7" s="11"/>
    </row>
    <row r="8" spans="2:16" ht="3" customHeight="1" hidden="1">
      <c r="B8" s="13"/>
      <c r="C8" s="13"/>
      <c r="D8" s="13"/>
      <c r="E8" s="14"/>
      <c r="F8" s="14"/>
      <c r="G8" s="14"/>
      <c r="H8" s="15"/>
      <c r="I8" s="16"/>
      <c r="J8" s="15"/>
      <c r="K8" s="16"/>
      <c r="L8" s="11"/>
      <c r="N8" s="11"/>
      <c r="O8" s="11"/>
      <c r="P8" s="11"/>
    </row>
    <row r="9" spans="2:16" ht="4.5" customHeight="1" hidden="1">
      <c r="B9" s="212" t="s">
        <v>1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11"/>
      <c r="O9" s="11"/>
      <c r="P9" s="11"/>
    </row>
    <row r="10" spans="2:16" ht="21.75" customHeight="1"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11"/>
      <c r="O10" s="11"/>
      <c r="P10" s="11"/>
    </row>
    <row r="11" spans="2:16" ht="6.75" customHeight="1" hidden="1">
      <c r="B11" s="17"/>
      <c r="C11" s="17"/>
      <c r="D11" s="17"/>
      <c r="E11" s="17"/>
      <c r="F11" s="17"/>
      <c r="G11" s="18"/>
      <c r="H11" s="19"/>
      <c r="I11" s="20"/>
      <c r="J11" s="19"/>
      <c r="K11" s="20"/>
      <c r="L11" s="11"/>
      <c r="N11" s="11"/>
      <c r="O11" s="11"/>
      <c r="P11" s="11"/>
    </row>
    <row r="12" spans="1:30" ht="123" customHeight="1">
      <c r="A12" s="213" t="s">
        <v>2</v>
      </c>
      <c r="B12" s="214" t="s">
        <v>3</v>
      </c>
      <c r="C12" s="216" t="s">
        <v>4</v>
      </c>
      <c r="D12" s="216" t="s">
        <v>5</v>
      </c>
      <c r="E12" s="218" t="s">
        <v>6</v>
      </c>
      <c r="F12" s="220" t="s">
        <v>7</v>
      </c>
      <c r="G12" s="210" t="s">
        <v>8</v>
      </c>
      <c r="H12" s="224"/>
      <c r="I12" s="226" t="s">
        <v>9</v>
      </c>
      <c r="J12" s="224" t="s">
        <v>10</v>
      </c>
      <c r="K12" s="226" t="s">
        <v>11</v>
      </c>
      <c r="L12" s="228" t="s">
        <v>10</v>
      </c>
      <c r="M12" s="230" t="s">
        <v>8</v>
      </c>
      <c r="N12" s="11"/>
      <c r="O12" s="11"/>
      <c r="P12" s="11"/>
      <c r="T12" s="206" t="s">
        <v>10</v>
      </c>
      <c r="U12" s="208" t="s">
        <v>8</v>
      </c>
      <c r="AC12" s="206" t="s">
        <v>10</v>
      </c>
      <c r="AD12" s="208" t="s">
        <v>8</v>
      </c>
    </row>
    <row r="13" spans="1:30" ht="12.75" customHeight="1">
      <c r="A13" s="213"/>
      <c r="B13" s="215"/>
      <c r="C13" s="217"/>
      <c r="D13" s="217"/>
      <c r="E13" s="219"/>
      <c r="F13" s="221"/>
      <c r="G13" s="211"/>
      <c r="H13" s="225"/>
      <c r="I13" s="227"/>
      <c r="J13" s="225"/>
      <c r="K13" s="227"/>
      <c r="L13" s="229"/>
      <c r="M13" s="231"/>
      <c r="N13" s="11"/>
      <c r="O13" s="11"/>
      <c r="P13" s="11"/>
      <c r="T13" s="207"/>
      <c r="U13" s="209"/>
      <c r="AC13" s="207"/>
      <c r="AD13" s="209"/>
    </row>
    <row r="14" spans="1:30" ht="35.25" customHeight="1">
      <c r="A14" s="109">
        <v>703</v>
      </c>
      <c r="B14" s="110" t="s">
        <v>12</v>
      </c>
      <c r="C14" s="21"/>
      <c r="D14" s="21"/>
      <c r="E14" s="22"/>
      <c r="F14" s="21"/>
      <c r="G14" s="23" t="e">
        <f aca="true" t="shared" si="0" ref="G14:L14">G15+G55+G61+G73+G121+G198+G225+G240</f>
        <v>#REF!</v>
      </c>
      <c r="H14" s="105">
        <f t="shared" si="0"/>
        <v>274658.32985999994</v>
      </c>
      <c r="I14" s="106" t="e">
        <f t="shared" si="0"/>
        <v>#REF!</v>
      </c>
      <c r="J14" s="105">
        <f t="shared" si="0"/>
        <v>5151.042960000001</v>
      </c>
      <c r="K14" s="107" t="e">
        <f t="shared" si="0"/>
        <v>#REF!</v>
      </c>
      <c r="L14" s="107">
        <f t="shared" si="0"/>
        <v>17124.514450000006</v>
      </c>
      <c r="M14" s="111">
        <f>M15+M55+M61+M73+M121+M198+M225+M240</f>
        <v>391491.88726999995</v>
      </c>
      <c r="N14" s="111">
        <f aca="true" t="shared" si="1" ref="N14:S14">N15+N55+N61+N73+N121+N198+N225+N240</f>
        <v>0</v>
      </c>
      <c r="O14" s="111">
        <f t="shared" si="1"/>
        <v>0</v>
      </c>
      <c r="P14" s="111">
        <f t="shared" si="1"/>
        <v>0</v>
      </c>
      <c r="Q14" s="111">
        <f t="shared" si="1"/>
        <v>0</v>
      </c>
      <c r="R14" s="111">
        <f t="shared" si="1"/>
        <v>0</v>
      </c>
      <c r="S14" s="111">
        <f t="shared" si="1"/>
        <v>0</v>
      </c>
      <c r="T14" s="188">
        <f>T15+T55+T61+T73+T121+T198+T225+T240</f>
        <v>-3458.2545699999996</v>
      </c>
      <c r="U14" s="188">
        <f>U15+U55+U61+U73+U121+U198+U225+U240</f>
        <v>388033.63269999996</v>
      </c>
      <c r="AC14" s="205">
        <f>AC15+AC55+AC61+AC73+AC121+AC198+AC225+AC240</f>
        <v>20726.8</v>
      </c>
      <c r="AD14" s="188">
        <f>U14+AC14</f>
        <v>408760.43269999995</v>
      </c>
    </row>
    <row r="15" spans="1:30" ht="21" customHeight="1">
      <c r="A15" s="4"/>
      <c r="B15" s="112" t="s">
        <v>13</v>
      </c>
      <c r="C15" s="24" t="s">
        <v>14</v>
      </c>
      <c r="D15" s="25"/>
      <c r="E15" s="26"/>
      <c r="F15" s="25"/>
      <c r="G15" s="23">
        <f>G16+G20+G24+G32+G36</f>
        <v>21476.9</v>
      </c>
      <c r="H15" s="105">
        <f>H16+H20+H24+H32+H36</f>
        <v>1075.3</v>
      </c>
      <c r="I15" s="106">
        <f>I16+I20+I24+I32+I36</f>
        <v>22552.199999999997</v>
      </c>
      <c r="J15" s="105">
        <f>J16+J20+J24+J32+J36+J52</f>
        <v>0</v>
      </c>
      <c r="K15" s="27">
        <f>K16+K20+K24+K32+K36</f>
        <v>22552.199999999997</v>
      </c>
      <c r="L15" s="107">
        <f>L16+L20+L24+L32+L36+L52</f>
        <v>2945.2</v>
      </c>
      <c r="M15" s="113">
        <f>M16+M20+M24+M32+M36</f>
        <v>25497.4</v>
      </c>
      <c r="N15" s="113">
        <f aca="true" t="shared" si="2" ref="N15:S15">N16+N20+N24+N32+N36</f>
        <v>0</v>
      </c>
      <c r="O15" s="113">
        <f t="shared" si="2"/>
        <v>0</v>
      </c>
      <c r="P15" s="113">
        <f t="shared" si="2"/>
        <v>0</v>
      </c>
      <c r="Q15" s="113">
        <f t="shared" si="2"/>
        <v>0</v>
      </c>
      <c r="R15" s="113">
        <f t="shared" si="2"/>
        <v>0</v>
      </c>
      <c r="S15" s="113">
        <f t="shared" si="2"/>
        <v>0</v>
      </c>
      <c r="T15" s="188">
        <f>T16+T20+T24+T32+T36</f>
        <v>48.054</v>
      </c>
      <c r="U15" s="188">
        <f>M15+T15</f>
        <v>25545.454</v>
      </c>
      <c r="AC15" s="203"/>
      <c r="AD15" s="188">
        <f aca="true" t="shared" si="3" ref="AD15:AD78">U15+AC15</f>
        <v>25545.454</v>
      </c>
    </row>
    <row r="16" spans="1:30" ht="63">
      <c r="A16" s="4"/>
      <c r="B16" s="112" t="s">
        <v>15</v>
      </c>
      <c r="C16" s="28" t="s">
        <v>14</v>
      </c>
      <c r="D16" s="28" t="s">
        <v>16</v>
      </c>
      <c r="E16" s="29"/>
      <c r="F16" s="28"/>
      <c r="G16" s="23">
        <f aca="true" t="shared" si="4" ref="G16:M18">G17</f>
        <v>1014.3</v>
      </c>
      <c r="H16" s="105">
        <f t="shared" si="4"/>
        <v>36.514</v>
      </c>
      <c r="I16" s="106">
        <f t="shared" si="4"/>
        <v>1050.8139999999999</v>
      </c>
      <c r="J16" s="105">
        <f t="shared" si="4"/>
        <v>0</v>
      </c>
      <c r="K16" s="30">
        <f t="shared" si="4"/>
        <v>1050.8139999999999</v>
      </c>
      <c r="L16" s="107">
        <f t="shared" si="4"/>
        <v>0</v>
      </c>
      <c r="M16" s="114">
        <f>M17</f>
        <v>1050.8139999999999</v>
      </c>
      <c r="N16" s="11"/>
      <c r="O16" s="11"/>
      <c r="P16" s="11"/>
      <c r="T16" s="185"/>
      <c r="U16" s="190">
        <f>U17</f>
        <v>1050.8139999999999</v>
      </c>
      <c r="AC16" s="203"/>
      <c r="AD16" s="188">
        <f t="shared" si="3"/>
        <v>1050.8139999999999</v>
      </c>
    </row>
    <row r="17" spans="1:30" ht="15.75">
      <c r="A17" s="4"/>
      <c r="B17" s="115" t="s">
        <v>17</v>
      </c>
      <c r="C17" s="32" t="s">
        <v>14</v>
      </c>
      <c r="D17" s="32" t="s">
        <v>16</v>
      </c>
      <c r="E17" s="33" t="s">
        <v>18</v>
      </c>
      <c r="F17" s="32"/>
      <c r="G17" s="34">
        <f t="shared" si="4"/>
        <v>1014.3</v>
      </c>
      <c r="H17" s="35">
        <f t="shared" si="4"/>
        <v>36.514</v>
      </c>
      <c r="I17" s="36">
        <f t="shared" si="4"/>
        <v>1050.8139999999999</v>
      </c>
      <c r="J17" s="35">
        <f t="shared" si="4"/>
        <v>0</v>
      </c>
      <c r="K17" s="37">
        <f t="shared" si="4"/>
        <v>1050.8139999999999</v>
      </c>
      <c r="L17" s="38">
        <f t="shared" si="4"/>
        <v>0</v>
      </c>
      <c r="M17" s="116">
        <f t="shared" si="4"/>
        <v>1050.8139999999999</v>
      </c>
      <c r="N17" s="11"/>
      <c r="O17" s="11"/>
      <c r="P17" s="11"/>
      <c r="T17" s="185"/>
      <c r="U17" s="191">
        <f>U18</f>
        <v>1050.8139999999999</v>
      </c>
      <c r="AC17" s="203"/>
      <c r="AD17" s="188">
        <f t="shared" si="3"/>
        <v>1050.8139999999999</v>
      </c>
    </row>
    <row r="18" spans="1:30" ht="15.75">
      <c r="A18" s="4"/>
      <c r="B18" s="115" t="s">
        <v>19</v>
      </c>
      <c r="C18" s="32" t="s">
        <v>14</v>
      </c>
      <c r="D18" s="32" t="s">
        <v>16</v>
      </c>
      <c r="E18" s="33" t="s">
        <v>20</v>
      </c>
      <c r="F18" s="32"/>
      <c r="G18" s="34">
        <f t="shared" si="4"/>
        <v>1014.3</v>
      </c>
      <c r="H18" s="35">
        <f t="shared" si="4"/>
        <v>36.514</v>
      </c>
      <c r="I18" s="36">
        <f t="shared" si="4"/>
        <v>1050.8139999999999</v>
      </c>
      <c r="J18" s="35">
        <f t="shared" si="4"/>
        <v>0</v>
      </c>
      <c r="K18" s="37">
        <f t="shared" si="4"/>
        <v>1050.8139999999999</v>
      </c>
      <c r="L18" s="38">
        <f t="shared" si="4"/>
        <v>0</v>
      </c>
      <c r="M18" s="116">
        <f t="shared" si="4"/>
        <v>1050.8139999999999</v>
      </c>
      <c r="N18" s="11"/>
      <c r="O18" s="11"/>
      <c r="P18" s="11"/>
      <c r="T18" s="185"/>
      <c r="U18" s="191">
        <f>U19</f>
        <v>1050.8139999999999</v>
      </c>
      <c r="AC18" s="203"/>
      <c r="AD18" s="188">
        <f t="shared" si="3"/>
        <v>1050.8139999999999</v>
      </c>
    </row>
    <row r="19" spans="1:30" ht="155.25" customHeight="1">
      <c r="A19" s="4"/>
      <c r="B19" s="117" t="s">
        <v>21</v>
      </c>
      <c r="C19" s="32" t="s">
        <v>14</v>
      </c>
      <c r="D19" s="32" t="s">
        <v>16</v>
      </c>
      <c r="E19" s="33" t="s">
        <v>22</v>
      </c>
      <c r="F19" s="32" t="s">
        <v>23</v>
      </c>
      <c r="G19" s="34">
        <v>1014.3</v>
      </c>
      <c r="H19" s="35">
        <v>36.514</v>
      </c>
      <c r="I19" s="36">
        <f>1014.3+36.514</f>
        <v>1050.8139999999999</v>
      </c>
      <c r="J19" s="35">
        <v>0</v>
      </c>
      <c r="K19" s="37">
        <f>1014.3+36.514</f>
        <v>1050.8139999999999</v>
      </c>
      <c r="L19" s="38">
        <v>0</v>
      </c>
      <c r="M19" s="116">
        <f>1014.3+36.514</f>
        <v>1050.8139999999999</v>
      </c>
      <c r="N19" s="11"/>
      <c r="O19" s="11"/>
      <c r="P19" s="11"/>
      <c r="T19" s="185"/>
      <c r="U19" s="191">
        <f>1014.3+36.514+T19</f>
        <v>1050.8139999999999</v>
      </c>
      <c r="AC19" s="203"/>
      <c r="AD19" s="188">
        <f t="shared" si="3"/>
        <v>1050.8139999999999</v>
      </c>
    </row>
    <row r="20" spans="1:30" ht="98.25" customHeight="1">
      <c r="A20" s="4"/>
      <c r="B20" s="110" t="s">
        <v>24</v>
      </c>
      <c r="C20" s="24" t="s">
        <v>14</v>
      </c>
      <c r="D20" s="24" t="s">
        <v>25</v>
      </c>
      <c r="E20" s="40"/>
      <c r="F20" s="32"/>
      <c r="G20" s="23">
        <f>G21</f>
        <v>30</v>
      </c>
      <c r="H20" s="105"/>
      <c r="I20" s="106">
        <f>I21</f>
        <v>30</v>
      </c>
      <c r="J20" s="105"/>
      <c r="K20" s="27">
        <f>K21</f>
        <v>30</v>
      </c>
      <c r="L20" s="107"/>
      <c r="M20" s="113">
        <f>M21</f>
        <v>30</v>
      </c>
      <c r="N20" s="11"/>
      <c r="O20" s="11"/>
      <c r="P20" s="11"/>
      <c r="T20" s="185"/>
      <c r="U20" s="189">
        <f>U21</f>
        <v>30</v>
      </c>
      <c r="AC20" s="203"/>
      <c r="AD20" s="188">
        <f t="shared" si="3"/>
        <v>30</v>
      </c>
    </row>
    <row r="21" spans="1:30" ht="15.75">
      <c r="A21" s="4"/>
      <c r="B21" s="115" t="s">
        <v>17</v>
      </c>
      <c r="C21" s="32" t="s">
        <v>14</v>
      </c>
      <c r="D21" s="32" t="s">
        <v>25</v>
      </c>
      <c r="E21" s="33" t="s">
        <v>18</v>
      </c>
      <c r="F21" s="32"/>
      <c r="G21" s="34">
        <f>G22</f>
        <v>30</v>
      </c>
      <c r="H21" s="35"/>
      <c r="I21" s="36">
        <f>I22</f>
        <v>30</v>
      </c>
      <c r="J21" s="35"/>
      <c r="K21" s="41">
        <f>K22</f>
        <v>30</v>
      </c>
      <c r="L21" s="38"/>
      <c r="M21" s="118">
        <f>M22</f>
        <v>30</v>
      </c>
      <c r="N21" s="11"/>
      <c r="O21" s="11"/>
      <c r="P21" s="11"/>
      <c r="T21" s="185"/>
      <c r="U21" s="186">
        <f>U22</f>
        <v>30</v>
      </c>
      <c r="AC21" s="203"/>
      <c r="AD21" s="188">
        <f t="shared" si="3"/>
        <v>30</v>
      </c>
    </row>
    <row r="22" spans="1:30" ht="15.75">
      <c r="A22" s="4"/>
      <c r="B22" s="115" t="s">
        <v>19</v>
      </c>
      <c r="C22" s="32" t="s">
        <v>14</v>
      </c>
      <c r="D22" s="32" t="s">
        <v>25</v>
      </c>
      <c r="E22" s="33" t="s">
        <v>20</v>
      </c>
      <c r="F22" s="32"/>
      <c r="G22" s="34">
        <f>G23</f>
        <v>30</v>
      </c>
      <c r="H22" s="35"/>
      <c r="I22" s="36">
        <f>I23</f>
        <v>30</v>
      </c>
      <c r="J22" s="35"/>
      <c r="K22" s="41">
        <f>K23</f>
        <v>30</v>
      </c>
      <c r="L22" s="38"/>
      <c r="M22" s="118">
        <f>M23</f>
        <v>30</v>
      </c>
      <c r="N22" s="11"/>
      <c r="O22" s="11"/>
      <c r="P22" s="11"/>
      <c r="T22" s="185"/>
      <c r="U22" s="186">
        <f>U23</f>
        <v>30</v>
      </c>
      <c r="AC22" s="203"/>
      <c r="AD22" s="188">
        <f t="shared" si="3"/>
        <v>30</v>
      </c>
    </row>
    <row r="23" spans="1:30" ht="78.75">
      <c r="A23" s="4"/>
      <c r="B23" s="119" t="s">
        <v>26</v>
      </c>
      <c r="C23" s="32" t="s">
        <v>14</v>
      </c>
      <c r="D23" s="32" t="s">
        <v>25</v>
      </c>
      <c r="E23" s="33" t="s">
        <v>27</v>
      </c>
      <c r="F23" s="32" t="s">
        <v>28</v>
      </c>
      <c r="G23" s="34">
        <v>30</v>
      </c>
      <c r="H23" s="35"/>
      <c r="I23" s="36">
        <v>30</v>
      </c>
      <c r="J23" s="35"/>
      <c r="K23" s="41">
        <v>30</v>
      </c>
      <c r="L23" s="38"/>
      <c r="M23" s="118">
        <v>30</v>
      </c>
      <c r="N23" s="11"/>
      <c r="O23" s="11"/>
      <c r="P23" s="11"/>
      <c r="T23" s="185"/>
      <c r="U23" s="186">
        <v>30</v>
      </c>
      <c r="AC23" s="203"/>
      <c r="AD23" s="188">
        <f t="shared" si="3"/>
        <v>30</v>
      </c>
    </row>
    <row r="24" spans="1:30" ht="99.75" customHeight="1">
      <c r="A24" s="4"/>
      <c r="B24" s="120" t="s">
        <v>29</v>
      </c>
      <c r="C24" s="24" t="s">
        <v>14</v>
      </c>
      <c r="D24" s="24" t="s">
        <v>30</v>
      </c>
      <c r="E24" s="33"/>
      <c r="F24" s="21"/>
      <c r="G24" s="23">
        <f aca="true" t="shared" si="5" ref="G24:M25">G25</f>
        <v>3863.6</v>
      </c>
      <c r="H24" s="105">
        <f t="shared" si="5"/>
        <v>103.68</v>
      </c>
      <c r="I24" s="106">
        <f t="shared" si="5"/>
        <v>3967.2799999999997</v>
      </c>
      <c r="J24" s="105">
        <f t="shared" si="5"/>
        <v>0</v>
      </c>
      <c r="K24" s="27">
        <f t="shared" si="5"/>
        <v>3967.2799999999997</v>
      </c>
      <c r="L24" s="107">
        <f t="shared" si="5"/>
        <v>691.3</v>
      </c>
      <c r="M24" s="114">
        <f t="shared" si="5"/>
        <v>4658.58</v>
      </c>
      <c r="N24" s="11"/>
      <c r="O24" s="11"/>
      <c r="P24" s="11"/>
      <c r="T24" s="185">
        <f>T25</f>
        <v>0</v>
      </c>
      <c r="U24" s="190">
        <f>U25</f>
        <v>4658.58</v>
      </c>
      <c r="V24" s="11"/>
      <c r="AC24" s="203"/>
      <c r="AD24" s="188">
        <f t="shared" si="3"/>
        <v>4658.58</v>
      </c>
    </row>
    <row r="25" spans="1:30" ht="15.75">
      <c r="A25" s="4"/>
      <c r="B25" s="121" t="s">
        <v>31</v>
      </c>
      <c r="C25" s="32" t="s">
        <v>14</v>
      </c>
      <c r="D25" s="32" t="s">
        <v>30</v>
      </c>
      <c r="E25" s="33" t="s">
        <v>32</v>
      </c>
      <c r="F25" s="32"/>
      <c r="G25" s="34">
        <f t="shared" si="5"/>
        <v>3863.6</v>
      </c>
      <c r="H25" s="35">
        <f t="shared" si="5"/>
        <v>103.68</v>
      </c>
      <c r="I25" s="36">
        <f t="shared" si="5"/>
        <v>3967.2799999999997</v>
      </c>
      <c r="J25" s="35">
        <f t="shared" si="5"/>
        <v>0</v>
      </c>
      <c r="K25" s="42">
        <f t="shared" si="5"/>
        <v>3967.2799999999997</v>
      </c>
      <c r="L25" s="38">
        <f t="shared" si="5"/>
        <v>691.3</v>
      </c>
      <c r="M25" s="116">
        <f t="shared" si="5"/>
        <v>4658.58</v>
      </c>
      <c r="N25" s="11"/>
      <c r="O25" s="11"/>
      <c r="P25" s="11"/>
      <c r="T25" s="185">
        <f>T26</f>
        <v>0</v>
      </c>
      <c r="U25" s="191">
        <f>U26</f>
        <v>4658.58</v>
      </c>
      <c r="AC25" s="203"/>
      <c r="AD25" s="188">
        <f t="shared" si="3"/>
        <v>4658.58</v>
      </c>
    </row>
    <row r="26" spans="1:30" ht="19.5" customHeight="1">
      <c r="A26" s="4"/>
      <c r="B26" s="122" t="s">
        <v>19</v>
      </c>
      <c r="C26" s="43" t="s">
        <v>14</v>
      </c>
      <c r="D26" s="43" t="s">
        <v>30</v>
      </c>
      <c r="E26" s="44" t="s">
        <v>33</v>
      </c>
      <c r="F26" s="43"/>
      <c r="G26" s="34">
        <f>G27+G28+G30+G31</f>
        <v>3863.6</v>
      </c>
      <c r="H26" s="35">
        <f>H27+H28+H30+H31</f>
        <v>103.68</v>
      </c>
      <c r="I26" s="36">
        <f>I27+I28+I30+I31</f>
        <v>3967.2799999999997</v>
      </c>
      <c r="J26" s="35">
        <f>J27+J28+J30+J31</f>
        <v>0</v>
      </c>
      <c r="K26" s="42">
        <f>K27+K28+K30+K31</f>
        <v>3967.2799999999997</v>
      </c>
      <c r="L26" s="38">
        <f>L27+L28+L30+L31+L29</f>
        <v>691.3</v>
      </c>
      <c r="M26" s="116">
        <f>M27+M28+M30+M31+M29</f>
        <v>4658.58</v>
      </c>
      <c r="N26" s="11"/>
      <c r="O26" s="11"/>
      <c r="P26" s="11"/>
      <c r="T26" s="185">
        <f>T27+T28+T29+T30+T31</f>
        <v>0</v>
      </c>
      <c r="U26" s="191">
        <f>M26+T26</f>
        <v>4658.58</v>
      </c>
      <c r="AC26" s="203"/>
      <c r="AD26" s="188">
        <f t="shared" si="3"/>
        <v>4658.58</v>
      </c>
    </row>
    <row r="27" spans="1:30" ht="162.75" customHeight="1">
      <c r="A27" s="4"/>
      <c r="B27" s="123" t="s">
        <v>34</v>
      </c>
      <c r="C27" s="43" t="s">
        <v>14</v>
      </c>
      <c r="D27" s="43" t="s">
        <v>30</v>
      </c>
      <c r="E27" s="44" t="s">
        <v>35</v>
      </c>
      <c r="F27" s="43" t="s">
        <v>23</v>
      </c>
      <c r="G27" s="34">
        <v>1146</v>
      </c>
      <c r="H27" s="35">
        <v>37.357</v>
      </c>
      <c r="I27" s="36">
        <f>1146+37.357</f>
        <v>1183.357</v>
      </c>
      <c r="J27" s="35">
        <v>0</v>
      </c>
      <c r="K27" s="38">
        <f>1146+37.357</f>
        <v>1183.357</v>
      </c>
      <c r="L27" s="38">
        <f>232.2</f>
        <v>232.2</v>
      </c>
      <c r="M27" s="116">
        <f>1146+37.357+232.2</f>
        <v>1415.557</v>
      </c>
      <c r="N27" s="11"/>
      <c r="O27" s="11"/>
      <c r="P27" s="11"/>
      <c r="T27" s="187">
        <f>57.29966+24.34869</f>
        <v>81.64835000000001</v>
      </c>
      <c r="U27" s="192">
        <f>M27+T27</f>
        <v>1497.20535</v>
      </c>
      <c r="AC27" s="203"/>
      <c r="AD27" s="188">
        <f t="shared" si="3"/>
        <v>1497.20535</v>
      </c>
    </row>
    <row r="28" spans="1:30" ht="164.25" customHeight="1">
      <c r="A28" s="4"/>
      <c r="B28" s="124" t="s">
        <v>36</v>
      </c>
      <c r="C28" s="66" t="s">
        <v>14</v>
      </c>
      <c r="D28" s="66" t="s">
        <v>30</v>
      </c>
      <c r="E28" s="45" t="s">
        <v>37</v>
      </c>
      <c r="F28" s="43" t="s">
        <v>23</v>
      </c>
      <c r="G28" s="34">
        <f>2055.6-124.6</f>
        <v>1931</v>
      </c>
      <c r="H28" s="35">
        <v>69.923</v>
      </c>
      <c r="I28" s="36">
        <f>2055.6-124.6+69.923</f>
        <v>2000.923</v>
      </c>
      <c r="J28" s="35">
        <v>0</v>
      </c>
      <c r="K28" s="46">
        <f>2055.6-124.6+69.923</f>
        <v>2000.923</v>
      </c>
      <c r="L28" s="38">
        <f>360.8</f>
        <v>360.8</v>
      </c>
      <c r="M28" s="116">
        <f>2055.6-124.6+69.923+360.8</f>
        <v>2361.723</v>
      </c>
      <c r="N28" s="11"/>
      <c r="O28" s="11"/>
      <c r="P28" s="11"/>
      <c r="T28" s="187">
        <f>-57.29966-24.34869</f>
        <v>-81.64835000000001</v>
      </c>
      <c r="U28" s="192">
        <f>M28+T28</f>
        <v>2280.07465</v>
      </c>
      <c r="AC28" s="203"/>
      <c r="AD28" s="188">
        <f t="shared" si="3"/>
        <v>2280.07465</v>
      </c>
    </row>
    <row r="29" spans="1:30" ht="157.5">
      <c r="A29" s="4"/>
      <c r="B29" s="124" t="s">
        <v>38</v>
      </c>
      <c r="C29" s="103" t="s">
        <v>14</v>
      </c>
      <c r="D29" s="103" t="s">
        <v>30</v>
      </c>
      <c r="E29" s="47" t="s">
        <v>39</v>
      </c>
      <c r="F29" s="43" t="s">
        <v>23</v>
      </c>
      <c r="G29" s="34"/>
      <c r="H29" s="35"/>
      <c r="I29" s="36"/>
      <c r="J29" s="35"/>
      <c r="K29" s="46">
        <v>0</v>
      </c>
      <c r="L29" s="38">
        <f>98.3</f>
        <v>98.3</v>
      </c>
      <c r="M29" s="118">
        <f>K29+L29</f>
        <v>98.3</v>
      </c>
      <c r="N29" s="11"/>
      <c r="O29" s="11"/>
      <c r="P29" s="11"/>
      <c r="T29" s="185"/>
      <c r="U29" s="186">
        <f>M29</f>
        <v>98.3</v>
      </c>
      <c r="AC29" s="203"/>
      <c r="AD29" s="188">
        <f t="shared" si="3"/>
        <v>98.3</v>
      </c>
    </row>
    <row r="30" spans="1:30" ht="63">
      <c r="A30" s="4"/>
      <c r="B30" s="124" t="s">
        <v>40</v>
      </c>
      <c r="C30" s="48" t="s">
        <v>14</v>
      </c>
      <c r="D30" s="48" t="s">
        <v>30</v>
      </c>
      <c r="E30" s="49" t="s">
        <v>27</v>
      </c>
      <c r="F30" s="43" t="s">
        <v>28</v>
      </c>
      <c r="G30" s="34">
        <f>171+469+124.6</f>
        <v>764.6</v>
      </c>
      <c r="H30" s="35">
        <f>-84.48369+75.28369</f>
        <v>-9.199999999999989</v>
      </c>
      <c r="I30" s="36">
        <f>171+469+124.6-84.48369+75.28369</f>
        <v>755.4</v>
      </c>
      <c r="J30" s="35">
        <v>0</v>
      </c>
      <c r="K30" s="41">
        <f>171+469+124.6-84.48369+75.28369</f>
        <v>755.4</v>
      </c>
      <c r="L30" s="38">
        <f>0-1</f>
        <v>-1</v>
      </c>
      <c r="M30" s="118">
        <f>171+469+124.6-84.48369+75.28369-1</f>
        <v>754.4</v>
      </c>
      <c r="N30" s="11"/>
      <c r="O30" s="11"/>
      <c r="P30" s="11"/>
      <c r="T30" s="199">
        <v>0.977</v>
      </c>
      <c r="U30" s="191">
        <f>171+469+124.6-84.48369+75.28369-1+T30</f>
        <v>755.377</v>
      </c>
      <c r="AC30" s="203"/>
      <c r="AD30" s="188">
        <f t="shared" si="3"/>
        <v>755.377</v>
      </c>
    </row>
    <row r="31" spans="1:30" ht="47.25">
      <c r="A31" s="4"/>
      <c r="B31" s="124" t="s">
        <v>41</v>
      </c>
      <c r="C31" s="48" t="s">
        <v>14</v>
      </c>
      <c r="D31" s="48" t="s">
        <v>30</v>
      </c>
      <c r="E31" s="49" t="s">
        <v>27</v>
      </c>
      <c r="F31" s="43" t="s">
        <v>42</v>
      </c>
      <c r="G31" s="34">
        <v>22</v>
      </c>
      <c r="H31" s="35">
        <v>5.6</v>
      </c>
      <c r="I31" s="36">
        <f>22+5.6</f>
        <v>27.6</v>
      </c>
      <c r="J31" s="35">
        <v>0</v>
      </c>
      <c r="K31" s="41">
        <f>22+5.6</f>
        <v>27.6</v>
      </c>
      <c r="L31" s="38">
        <f>0+1</f>
        <v>1</v>
      </c>
      <c r="M31" s="118">
        <f>22+5.6+1</f>
        <v>28.6</v>
      </c>
      <c r="N31" s="11"/>
      <c r="O31" s="11"/>
      <c r="P31" s="11"/>
      <c r="T31" s="199">
        <v>-0.977</v>
      </c>
      <c r="U31" s="191">
        <f>22+5.6+1+T31</f>
        <v>27.623</v>
      </c>
      <c r="AC31" s="203"/>
      <c r="AD31" s="188">
        <f t="shared" si="3"/>
        <v>27.623</v>
      </c>
    </row>
    <row r="32" spans="1:30" ht="15" customHeight="1" hidden="1">
      <c r="A32" s="4"/>
      <c r="B32" s="125" t="s">
        <v>43</v>
      </c>
      <c r="C32" s="50" t="s">
        <v>14</v>
      </c>
      <c r="D32" s="50" t="s">
        <v>44</v>
      </c>
      <c r="E32" s="51"/>
      <c r="F32" s="50"/>
      <c r="G32" s="23">
        <f>G33</f>
        <v>20</v>
      </c>
      <c r="H32" s="105"/>
      <c r="I32" s="106">
        <f>I33</f>
        <v>20</v>
      </c>
      <c r="J32" s="105"/>
      <c r="K32" s="27">
        <f>K33</f>
        <v>20</v>
      </c>
      <c r="L32" s="107"/>
      <c r="M32" s="113">
        <f>M33</f>
        <v>20</v>
      </c>
      <c r="N32" s="11"/>
      <c r="O32" s="11"/>
      <c r="P32" s="11"/>
      <c r="T32" s="185">
        <f>T34</f>
        <v>-20</v>
      </c>
      <c r="U32" s="189">
        <f>M32+T32</f>
        <v>0</v>
      </c>
      <c r="AC32" s="203"/>
      <c r="AD32" s="188">
        <f t="shared" si="3"/>
        <v>0</v>
      </c>
    </row>
    <row r="33" spans="1:30" ht="15" customHeight="1" hidden="1">
      <c r="A33" s="4"/>
      <c r="B33" s="126" t="s">
        <v>17</v>
      </c>
      <c r="C33" s="43" t="s">
        <v>14</v>
      </c>
      <c r="D33" s="43" t="s">
        <v>44</v>
      </c>
      <c r="E33" s="44" t="s">
        <v>32</v>
      </c>
      <c r="F33" s="43"/>
      <c r="G33" s="34">
        <f>G34</f>
        <v>20</v>
      </c>
      <c r="H33" s="35"/>
      <c r="I33" s="36">
        <f>I34</f>
        <v>20</v>
      </c>
      <c r="J33" s="35"/>
      <c r="K33" s="41">
        <f>K34</f>
        <v>20</v>
      </c>
      <c r="L33" s="38"/>
      <c r="M33" s="118">
        <f>M34</f>
        <v>20</v>
      </c>
      <c r="N33" s="11"/>
      <c r="O33" s="11"/>
      <c r="P33" s="11"/>
      <c r="T33" s="185">
        <f>T35</f>
        <v>-20</v>
      </c>
      <c r="U33" s="186">
        <f>U34</f>
        <v>0</v>
      </c>
      <c r="AC33" s="203"/>
      <c r="AD33" s="188">
        <f t="shared" si="3"/>
        <v>0</v>
      </c>
    </row>
    <row r="34" spans="1:30" ht="20.25" customHeight="1" hidden="1">
      <c r="A34" s="4"/>
      <c r="B34" s="126" t="s">
        <v>45</v>
      </c>
      <c r="C34" s="43" t="s">
        <v>14</v>
      </c>
      <c r="D34" s="43" t="s">
        <v>44</v>
      </c>
      <c r="E34" s="44" t="s">
        <v>33</v>
      </c>
      <c r="F34" s="43"/>
      <c r="G34" s="34">
        <f>G35</f>
        <v>20</v>
      </c>
      <c r="H34" s="35"/>
      <c r="I34" s="36">
        <f>I35</f>
        <v>20</v>
      </c>
      <c r="J34" s="35"/>
      <c r="K34" s="41">
        <f>K35</f>
        <v>20</v>
      </c>
      <c r="L34" s="38"/>
      <c r="M34" s="118">
        <f>M35</f>
        <v>20</v>
      </c>
      <c r="N34" s="11"/>
      <c r="O34" s="11"/>
      <c r="P34" s="11"/>
      <c r="T34" s="185">
        <f>T35</f>
        <v>-20</v>
      </c>
      <c r="U34" s="186">
        <f>U35</f>
        <v>0</v>
      </c>
      <c r="AC34" s="203"/>
      <c r="AD34" s="188">
        <f t="shared" si="3"/>
        <v>0</v>
      </c>
    </row>
    <row r="35" spans="1:30" ht="63" hidden="1">
      <c r="A35" s="4"/>
      <c r="B35" s="126" t="s">
        <v>46</v>
      </c>
      <c r="C35" s="43" t="s">
        <v>14</v>
      </c>
      <c r="D35" s="43" t="s">
        <v>44</v>
      </c>
      <c r="E35" s="44" t="s">
        <v>47</v>
      </c>
      <c r="F35" s="43" t="s">
        <v>42</v>
      </c>
      <c r="G35" s="34">
        <v>20</v>
      </c>
      <c r="H35" s="35"/>
      <c r="I35" s="36">
        <v>20</v>
      </c>
      <c r="J35" s="35"/>
      <c r="K35" s="41">
        <v>20</v>
      </c>
      <c r="L35" s="38"/>
      <c r="M35" s="118">
        <v>20</v>
      </c>
      <c r="N35" s="11"/>
      <c r="O35" s="11"/>
      <c r="P35" s="11"/>
      <c r="T35" s="185">
        <v>-20</v>
      </c>
      <c r="U35" s="186">
        <f>20+T35</f>
        <v>0</v>
      </c>
      <c r="W35" t="s">
        <v>384</v>
      </c>
      <c r="AC35" s="203"/>
      <c r="AD35" s="188">
        <f t="shared" si="3"/>
        <v>0</v>
      </c>
    </row>
    <row r="36" spans="1:30" ht="31.5">
      <c r="A36" s="4"/>
      <c r="B36" s="112" t="s">
        <v>48</v>
      </c>
      <c r="C36" s="50" t="s">
        <v>14</v>
      </c>
      <c r="D36" s="50" t="s">
        <v>49</v>
      </c>
      <c r="E36" s="51"/>
      <c r="F36" s="50"/>
      <c r="G36" s="23">
        <f aca="true" t="shared" si="6" ref="G36:S36">G37+G42+G49+G52</f>
        <v>16549</v>
      </c>
      <c r="H36" s="105">
        <f t="shared" si="6"/>
        <v>935.106</v>
      </c>
      <c r="I36" s="106">
        <f t="shared" si="6"/>
        <v>17484.106</v>
      </c>
      <c r="J36" s="105">
        <f t="shared" si="6"/>
        <v>0</v>
      </c>
      <c r="K36" s="30">
        <f t="shared" si="6"/>
        <v>17484.106</v>
      </c>
      <c r="L36" s="107">
        <f t="shared" si="6"/>
        <v>2253.9</v>
      </c>
      <c r="M36" s="114">
        <f t="shared" si="6"/>
        <v>19738.006</v>
      </c>
      <c r="N36" s="114">
        <f t="shared" si="6"/>
        <v>0</v>
      </c>
      <c r="O36" s="114">
        <f t="shared" si="6"/>
        <v>0</v>
      </c>
      <c r="P36" s="114">
        <f t="shared" si="6"/>
        <v>0</v>
      </c>
      <c r="Q36" s="114">
        <f t="shared" si="6"/>
        <v>0</v>
      </c>
      <c r="R36" s="114">
        <f t="shared" si="6"/>
        <v>0</v>
      </c>
      <c r="S36" s="114">
        <f t="shared" si="6"/>
        <v>0</v>
      </c>
      <c r="T36" s="188">
        <f>T37+T42+T49+T52</f>
        <v>68.054</v>
      </c>
      <c r="U36" s="190">
        <f>M36+T36</f>
        <v>19806.06</v>
      </c>
      <c r="AC36" s="203"/>
      <c r="AD36" s="188">
        <f t="shared" si="3"/>
        <v>19806.06</v>
      </c>
    </row>
    <row r="37" spans="1:30" ht="68.25" customHeight="1">
      <c r="A37" s="4"/>
      <c r="B37" s="112" t="s">
        <v>50</v>
      </c>
      <c r="C37" s="50" t="s">
        <v>14</v>
      </c>
      <c r="D37" s="50" t="s">
        <v>49</v>
      </c>
      <c r="E37" s="51" t="s">
        <v>14</v>
      </c>
      <c r="F37" s="50"/>
      <c r="G37" s="23">
        <f>G38+G40</f>
        <v>410</v>
      </c>
      <c r="H37" s="105"/>
      <c r="I37" s="106">
        <f>I38+I40</f>
        <v>410</v>
      </c>
      <c r="J37" s="105"/>
      <c r="K37" s="27">
        <f>K38+K40</f>
        <v>410</v>
      </c>
      <c r="L37" s="107"/>
      <c r="M37" s="113">
        <f>M38+M40</f>
        <v>410</v>
      </c>
      <c r="N37" s="11"/>
      <c r="O37" s="11"/>
      <c r="P37" s="11"/>
      <c r="T37" s="185">
        <f>T40+T38</f>
        <v>68.3</v>
      </c>
      <c r="U37" s="189">
        <f>M37+T37</f>
        <v>478.3</v>
      </c>
      <c r="AC37" s="203"/>
      <c r="AD37" s="188">
        <f t="shared" si="3"/>
        <v>478.3</v>
      </c>
    </row>
    <row r="38" spans="1:30" ht="67.5" customHeight="1" hidden="1">
      <c r="A38" s="4"/>
      <c r="B38" s="124" t="s">
        <v>51</v>
      </c>
      <c r="C38" s="43" t="s">
        <v>14</v>
      </c>
      <c r="D38" s="43" t="s">
        <v>49</v>
      </c>
      <c r="E38" s="44" t="s">
        <v>52</v>
      </c>
      <c r="F38" s="43"/>
      <c r="G38" s="34">
        <f>G39</f>
        <v>10</v>
      </c>
      <c r="H38" s="35"/>
      <c r="I38" s="36">
        <f>I39</f>
        <v>10</v>
      </c>
      <c r="J38" s="35"/>
      <c r="K38" s="41">
        <f>K39</f>
        <v>10</v>
      </c>
      <c r="L38" s="38"/>
      <c r="M38" s="118">
        <f>M39</f>
        <v>10</v>
      </c>
      <c r="N38" s="11"/>
      <c r="O38" s="11"/>
      <c r="P38" s="11"/>
      <c r="T38" s="185">
        <f>T39</f>
        <v>-10</v>
      </c>
      <c r="U38" s="186">
        <f>U39</f>
        <v>0</v>
      </c>
      <c r="AC38" s="203"/>
      <c r="AD38" s="188">
        <f t="shared" si="3"/>
        <v>0</v>
      </c>
    </row>
    <row r="39" spans="1:30" ht="69" customHeight="1" hidden="1">
      <c r="A39" s="4"/>
      <c r="B39" s="124" t="s">
        <v>53</v>
      </c>
      <c r="C39" s="43" t="s">
        <v>14</v>
      </c>
      <c r="D39" s="43" t="s">
        <v>49</v>
      </c>
      <c r="E39" s="44" t="s">
        <v>54</v>
      </c>
      <c r="F39" s="43" t="s">
        <v>28</v>
      </c>
      <c r="G39" s="34">
        <f>10</f>
        <v>10</v>
      </c>
      <c r="H39" s="35"/>
      <c r="I39" s="36">
        <f>10</f>
        <v>10</v>
      </c>
      <c r="J39" s="35"/>
      <c r="K39" s="41">
        <f>10</f>
        <v>10</v>
      </c>
      <c r="L39" s="38"/>
      <c r="M39" s="118">
        <f>10</f>
        <v>10</v>
      </c>
      <c r="N39" s="11"/>
      <c r="O39" s="11"/>
      <c r="P39" s="11"/>
      <c r="T39" s="185">
        <v>-10</v>
      </c>
      <c r="U39" s="186">
        <f>10+T39</f>
        <v>0</v>
      </c>
      <c r="W39" t="s">
        <v>382</v>
      </c>
      <c r="AC39" s="203"/>
      <c r="AD39" s="188">
        <f t="shared" si="3"/>
        <v>0</v>
      </c>
    </row>
    <row r="40" spans="1:30" ht="110.25" customHeight="1">
      <c r="A40" s="4"/>
      <c r="B40" s="127" t="s">
        <v>55</v>
      </c>
      <c r="C40" s="52" t="s">
        <v>14</v>
      </c>
      <c r="D40" s="52" t="s">
        <v>49</v>
      </c>
      <c r="E40" s="53" t="s">
        <v>56</v>
      </c>
      <c r="F40" s="43"/>
      <c r="G40" s="34">
        <f>G41</f>
        <v>400</v>
      </c>
      <c r="H40" s="35"/>
      <c r="I40" s="36">
        <f>I41</f>
        <v>400</v>
      </c>
      <c r="J40" s="35"/>
      <c r="K40" s="41">
        <f>K41</f>
        <v>400</v>
      </c>
      <c r="L40" s="38"/>
      <c r="M40" s="118">
        <f>M41</f>
        <v>400</v>
      </c>
      <c r="N40" s="11"/>
      <c r="O40" s="11"/>
      <c r="P40" s="11"/>
      <c r="T40" s="185">
        <f>T41</f>
        <v>78.3</v>
      </c>
      <c r="U40" s="186">
        <f>U41</f>
        <v>478.3</v>
      </c>
      <c r="AC40" s="203"/>
      <c r="AD40" s="188">
        <f t="shared" si="3"/>
        <v>478.3</v>
      </c>
    </row>
    <row r="41" spans="1:30" ht="132.75" customHeight="1">
      <c r="A41" s="4"/>
      <c r="B41" s="119" t="s">
        <v>57</v>
      </c>
      <c r="C41" s="48" t="s">
        <v>14</v>
      </c>
      <c r="D41" s="48" t="s">
        <v>49</v>
      </c>
      <c r="E41" s="44" t="s">
        <v>58</v>
      </c>
      <c r="F41" s="43" t="s">
        <v>28</v>
      </c>
      <c r="G41" s="34">
        <v>400</v>
      </c>
      <c r="H41" s="35"/>
      <c r="I41" s="36">
        <v>400</v>
      </c>
      <c r="J41" s="35"/>
      <c r="K41" s="41">
        <v>400</v>
      </c>
      <c r="L41" s="38"/>
      <c r="M41" s="118">
        <v>400</v>
      </c>
      <c r="N41" s="11"/>
      <c r="O41" s="11"/>
      <c r="P41" s="11"/>
      <c r="T41" s="185">
        <f>78.3</f>
        <v>78.3</v>
      </c>
      <c r="U41" s="186">
        <f>M41+T41</f>
        <v>478.3</v>
      </c>
      <c r="W41" t="s">
        <v>383</v>
      </c>
      <c r="AC41" s="203"/>
      <c r="AD41" s="188">
        <f t="shared" si="3"/>
        <v>478.3</v>
      </c>
    </row>
    <row r="42" spans="1:30" s="6" customFormat="1" ht="110.25">
      <c r="A42" s="5"/>
      <c r="B42" s="112" t="s">
        <v>59</v>
      </c>
      <c r="C42" s="50" t="s">
        <v>14</v>
      </c>
      <c r="D42" s="50" t="s">
        <v>49</v>
      </c>
      <c r="E42" s="51" t="s">
        <v>16</v>
      </c>
      <c r="F42" s="43"/>
      <c r="G42" s="23">
        <f aca="true" t="shared" si="7" ref="G42:M42">G43+G45+G47</f>
        <v>14832</v>
      </c>
      <c r="H42" s="105">
        <f t="shared" si="7"/>
        <v>695.906</v>
      </c>
      <c r="I42" s="106">
        <f t="shared" si="7"/>
        <v>15527.905999999999</v>
      </c>
      <c r="J42" s="105">
        <f t="shared" si="7"/>
        <v>0</v>
      </c>
      <c r="K42" s="30">
        <f t="shared" si="7"/>
        <v>15527.905999999999</v>
      </c>
      <c r="L42" s="107">
        <f t="shared" si="7"/>
        <v>1673.9</v>
      </c>
      <c r="M42" s="114">
        <f t="shared" si="7"/>
        <v>17201.806</v>
      </c>
      <c r="N42" s="11"/>
      <c r="O42" s="11"/>
      <c r="P42" s="11"/>
      <c r="T42" s="187">
        <f>T43+T45+T47</f>
        <v>51.563370000000006</v>
      </c>
      <c r="U42" s="188">
        <f>M42+T42</f>
        <v>17253.36937</v>
      </c>
      <c r="AC42" s="204"/>
      <c r="AD42" s="188">
        <f t="shared" si="3"/>
        <v>17253.36937</v>
      </c>
    </row>
    <row r="43" spans="1:30" ht="38.25" customHeight="1">
      <c r="A43" s="4"/>
      <c r="B43" s="124" t="s">
        <v>60</v>
      </c>
      <c r="C43" s="43" t="s">
        <v>14</v>
      </c>
      <c r="D43" s="43" t="s">
        <v>49</v>
      </c>
      <c r="E43" s="44" t="s">
        <v>61</v>
      </c>
      <c r="F43" s="43"/>
      <c r="G43" s="34">
        <f aca="true" t="shared" si="8" ref="G43:M43">G44</f>
        <v>12307.4</v>
      </c>
      <c r="H43" s="35">
        <f t="shared" si="8"/>
        <v>687.206</v>
      </c>
      <c r="I43" s="36">
        <f t="shared" si="8"/>
        <v>12994.606</v>
      </c>
      <c r="J43" s="35">
        <f t="shared" si="8"/>
        <v>0</v>
      </c>
      <c r="K43" s="37">
        <f t="shared" si="8"/>
        <v>12994.606</v>
      </c>
      <c r="L43" s="38">
        <f t="shared" si="8"/>
        <v>1673.9</v>
      </c>
      <c r="M43" s="116">
        <f t="shared" si="8"/>
        <v>14668.506</v>
      </c>
      <c r="N43" s="11"/>
      <c r="O43" s="11"/>
      <c r="P43" s="11"/>
      <c r="T43" s="185"/>
      <c r="U43" s="191">
        <f>M43+T43</f>
        <v>14668.506</v>
      </c>
      <c r="AC43" s="203"/>
      <c r="AD43" s="188">
        <f t="shared" si="3"/>
        <v>14668.506</v>
      </c>
    </row>
    <row r="44" spans="1:30" ht="176.25" customHeight="1">
      <c r="A44" s="4"/>
      <c r="B44" s="124" t="s">
        <v>62</v>
      </c>
      <c r="C44" s="43" t="s">
        <v>14</v>
      </c>
      <c r="D44" s="43" t="s">
        <v>49</v>
      </c>
      <c r="E44" s="44" t="s">
        <v>63</v>
      </c>
      <c r="F44" s="43" t="s">
        <v>23</v>
      </c>
      <c r="G44" s="34">
        <v>12307.4</v>
      </c>
      <c r="H44" s="35">
        <v>687.206</v>
      </c>
      <c r="I44" s="36">
        <f>12307.4+687.206</f>
        <v>12994.606</v>
      </c>
      <c r="J44" s="35">
        <v>0</v>
      </c>
      <c r="K44" s="37">
        <f>12307.4+687.206</f>
        <v>12994.606</v>
      </c>
      <c r="L44" s="38">
        <f>0+156.4+47.3+1233+237.2</f>
        <v>1673.9</v>
      </c>
      <c r="M44" s="116">
        <f>K44+L44</f>
        <v>14668.506</v>
      </c>
      <c r="N44" s="11"/>
      <c r="O44" s="11"/>
      <c r="P44" s="11"/>
      <c r="T44" s="185"/>
      <c r="U44" s="191">
        <v>14668.506</v>
      </c>
      <c r="AC44" s="203"/>
      <c r="AD44" s="188">
        <f t="shared" si="3"/>
        <v>14668.506</v>
      </c>
    </row>
    <row r="45" spans="1:30" ht="66.75" customHeight="1">
      <c r="A45" s="4"/>
      <c r="B45" s="124" t="s">
        <v>64</v>
      </c>
      <c r="C45" s="43" t="s">
        <v>14</v>
      </c>
      <c r="D45" s="43" t="s">
        <v>49</v>
      </c>
      <c r="E45" s="44" t="s">
        <v>65</v>
      </c>
      <c r="F45" s="43"/>
      <c r="G45" s="34">
        <f aca="true" t="shared" si="9" ref="G45:M45">G46</f>
        <v>2500.3</v>
      </c>
      <c r="H45" s="35">
        <f t="shared" si="9"/>
        <v>-38.22</v>
      </c>
      <c r="I45" s="36">
        <f t="shared" si="9"/>
        <v>2462.0800000000004</v>
      </c>
      <c r="J45" s="35">
        <f t="shared" si="9"/>
        <v>0</v>
      </c>
      <c r="K45" s="41">
        <f t="shared" si="9"/>
        <v>2462.0800000000004</v>
      </c>
      <c r="L45" s="38">
        <f t="shared" si="9"/>
        <v>0</v>
      </c>
      <c r="M45" s="118">
        <f t="shared" si="9"/>
        <v>2462.0800000000004</v>
      </c>
      <c r="N45" s="11"/>
      <c r="O45" s="11"/>
      <c r="P45" s="11"/>
      <c r="T45" s="187">
        <f>T46</f>
        <v>51.563370000000006</v>
      </c>
      <c r="U45" s="192">
        <f>U46</f>
        <v>2513.6433700000002</v>
      </c>
      <c r="AC45" s="203"/>
      <c r="AD45" s="188">
        <f t="shared" si="3"/>
        <v>2513.6433700000002</v>
      </c>
    </row>
    <row r="46" spans="1:30" ht="99" customHeight="1">
      <c r="A46" s="4"/>
      <c r="B46" s="128" t="s">
        <v>66</v>
      </c>
      <c r="C46" s="43" t="s">
        <v>14</v>
      </c>
      <c r="D46" s="43" t="s">
        <v>49</v>
      </c>
      <c r="E46" s="44" t="s">
        <v>67</v>
      </c>
      <c r="F46" s="43" t="s">
        <v>28</v>
      </c>
      <c r="G46" s="34">
        <f>2170.3+330</f>
        <v>2500.3</v>
      </c>
      <c r="H46" s="35">
        <v>-38.22</v>
      </c>
      <c r="I46" s="36">
        <f>2170.3+330-38.22</f>
        <v>2462.0800000000004</v>
      </c>
      <c r="J46" s="35">
        <v>0</v>
      </c>
      <c r="K46" s="41">
        <f>2170.3+330-38.22</f>
        <v>2462.0800000000004</v>
      </c>
      <c r="L46" s="38">
        <v>0</v>
      </c>
      <c r="M46" s="118">
        <f>2170.3+330-38.22</f>
        <v>2462.0800000000004</v>
      </c>
      <c r="N46" s="11"/>
      <c r="O46" s="11"/>
      <c r="P46" s="11"/>
      <c r="T46" s="187">
        <f>41.00589+7.279+3.27848</f>
        <v>51.563370000000006</v>
      </c>
      <c r="U46" s="192">
        <f>M46+T46</f>
        <v>2513.6433700000002</v>
      </c>
      <c r="W46" t="s">
        <v>381</v>
      </c>
      <c r="AC46" s="203"/>
      <c r="AD46" s="188">
        <f t="shared" si="3"/>
        <v>2513.6433700000002</v>
      </c>
    </row>
    <row r="47" spans="1:30" ht="54" customHeight="1">
      <c r="A47" s="4"/>
      <c r="B47" s="128" t="s">
        <v>68</v>
      </c>
      <c r="C47" s="43" t="s">
        <v>14</v>
      </c>
      <c r="D47" s="43" t="s">
        <v>49</v>
      </c>
      <c r="E47" s="44" t="s">
        <v>69</v>
      </c>
      <c r="F47" s="43"/>
      <c r="G47" s="34">
        <f aca="true" t="shared" si="10" ref="G47:M47">G48</f>
        <v>24.3</v>
      </c>
      <c r="H47" s="35">
        <f t="shared" si="10"/>
        <v>46.92</v>
      </c>
      <c r="I47" s="36">
        <f t="shared" si="10"/>
        <v>71.22</v>
      </c>
      <c r="J47" s="35">
        <f t="shared" si="10"/>
        <v>0</v>
      </c>
      <c r="K47" s="41">
        <f t="shared" si="10"/>
        <v>71.22</v>
      </c>
      <c r="L47" s="38">
        <f t="shared" si="10"/>
        <v>0</v>
      </c>
      <c r="M47" s="118">
        <f t="shared" si="10"/>
        <v>71.22</v>
      </c>
      <c r="N47" s="11"/>
      <c r="O47" s="11"/>
      <c r="P47" s="11"/>
      <c r="T47" s="185"/>
      <c r="U47" s="186">
        <f>U48</f>
        <v>71.22</v>
      </c>
      <c r="AC47" s="203"/>
      <c r="AD47" s="188">
        <f t="shared" si="3"/>
        <v>71.22</v>
      </c>
    </row>
    <row r="48" spans="1:30" ht="53.25" customHeight="1">
      <c r="A48" s="4"/>
      <c r="B48" s="128" t="s">
        <v>70</v>
      </c>
      <c r="C48" s="43" t="s">
        <v>14</v>
      </c>
      <c r="D48" s="43" t="s">
        <v>49</v>
      </c>
      <c r="E48" s="44" t="s">
        <v>71</v>
      </c>
      <c r="F48" s="43" t="s">
        <v>42</v>
      </c>
      <c r="G48" s="34">
        <v>24.3</v>
      </c>
      <c r="H48" s="35">
        <f>38.22+8.7</f>
        <v>46.92</v>
      </c>
      <c r="I48" s="36">
        <f>24.3+H48</f>
        <v>71.22</v>
      </c>
      <c r="J48" s="35">
        <v>0</v>
      </c>
      <c r="K48" s="41">
        <f>71.22</f>
        <v>71.22</v>
      </c>
      <c r="L48" s="38">
        <v>0</v>
      </c>
      <c r="M48" s="118">
        <f>71.22</f>
        <v>71.22</v>
      </c>
      <c r="N48" s="11"/>
      <c r="O48" s="11"/>
      <c r="P48" s="11"/>
      <c r="T48" s="185"/>
      <c r="U48" s="186">
        <f>71.22</f>
        <v>71.22</v>
      </c>
      <c r="AC48" s="203"/>
      <c r="AD48" s="188">
        <f t="shared" si="3"/>
        <v>71.22</v>
      </c>
    </row>
    <row r="49" spans="1:30" ht="101.25" customHeight="1">
      <c r="A49" s="4"/>
      <c r="B49" s="112" t="s">
        <v>72</v>
      </c>
      <c r="C49" s="50" t="s">
        <v>14</v>
      </c>
      <c r="D49" s="50" t="s">
        <v>49</v>
      </c>
      <c r="E49" s="51" t="s">
        <v>25</v>
      </c>
      <c r="F49" s="43"/>
      <c r="G49" s="23">
        <f aca="true" t="shared" si="11" ref="G49:M50">G50</f>
        <v>1294</v>
      </c>
      <c r="H49" s="105">
        <f t="shared" si="11"/>
        <v>239.2</v>
      </c>
      <c r="I49" s="106">
        <f t="shared" si="11"/>
        <v>1533.2</v>
      </c>
      <c r="J49" s="105">
        <f t="shared" si="11"/>
        <v>0</v>
      </c>
      <c r="K49" s="27">
        <f t="shared" si="11"/>
        <v>1533.2</v>
      </c>
      <c r="L49" s="107">
        <f t="shared" si="11"/>
        <v>580</v>
      </c>
      <c r="M49" s="113">
        <f t="shared" si="11"/>
        <v>2113.2</v>
      </c>
      <c r="N49" s="11"/>
      <c r="O49" s="11"/>
      <c r="P49" s="11"/>
      <c r="T49" s="200">
        <f>T50</f>
        <v>-51.563370000000006</v>
      </c>
      <c r="U49" s="188">
        <f>U50</f>
        <v>2061.63663</v>
      </c>
      <c r="AC49" s="203"/>
      <c r="AD49" s="188">
        <f t="shared" si="3"/>
        <v>2061.63663</v>
      </c>
    </row>
    <row r="50" spans="1:30" ht="40.5" customHeight="1">
      <c r="A50" s="4"/>
      <c r="B50" s="128" t="s">
        <v>73</v>
      </c>
      <c r="C50" s="43" t="s">
        <v>14</v>
      </c>
      <c r="D50" s="43" t="s">
        <v>49</v>
      </c>
      <c r="E50" s="44" t="s">
        <v>74</v>
      </c>
      <c r="F50" s="43"/>
      <c r="G50" s="34">
        <f t="shared" si="11"/>
        <v>1294</v>
      </c>
      <c r="H50" s="35">
        <f t="shared" si="11"/>
        <v>239.2</v>
      </c>
      <c r="I50" s="36">
        <f t="shared" si="11"/>
        <v>1533.2</v>
      </c>
      <c r="J50" s="35">
        <f t="shared" si="11"/>
        <v>0</v>
      </c>
      <c r="K50" s="41">
        <f t="shared" si="11"/>
        <v>1533.2</v>
      </c>
      <c r="L50" s="38">
        <f t="shared" si="11"/>
        <v>580</v>
      </c>
      <c r="M50" s="118">
        <f t="shared" si="11"/>
        <v>2113.2</v>
      </c>
      <c r="N50" s="11"/>
      <c r="O50" s="11"/>
      <c r="P50" s="11"/>
      <c r="T50" s="187">
        <f>T51</f>
        <v>-51.563370000000006</v>
      </c>
      <c r="U50" s="192">
        <f>U51</f>
        <v>2061.63663</v>
      </c>
      <c r="AC50" s="203"/>
      <c r="AD50" s="188">
        <f t="shared" si="3"/>
        <v>2061.63663</v>
      </c>
    </row>
    <row r="51" spans="1:30" ht="82.5" customHeight="1">
      <c r="A51" s="4"/>
      <c r="B51" s="128" t="s">
        <v>75</v>
      </c>
      <c r="C51" s="43" t="s">
        <v>14</v>
      </c>
      <c r="D51" s="43" t="s">
        <v>49</v>
      </c>
      <c r="E51" s="44" t="s">
        <v>76</v>
      </c>
      <c r="F51" s="43" t="s">
        <v>28</v>
      </c>
      <c r="G51" s="34">
        <v>1294</v>
      </c>
      <c r="H51" s="35">
        <f>9.2+230</f>
        <v>239.2</v>
      </c>
      <c r="I51" s="36">
        <f>1294+9.2+230</f>
        <v>1533.2</v>
      </c>
      <c r="J51" s="35">
        <v>0</v>
      </c>
      <c r="K51" s="41">
        <f>1294+9.2+230</f>
        <v>1533.2</v>
      </c>
      <c r="L51" s="54">
        <f>580</f>
        <v>580</v>
      </c>
      <c r="M51" s="118">
        <f>1294+9.2+230+580</f>
        <v>2113.2</v>
      </c>
      <c r="N51" s="11" t="s">
        <v>77</v>
      </c>
      <c r="O51" s="11"/>
      <c r="P51" s="11"/>
      <c r="T51" s="187">
        <f>-41.00589-7.279-3.27848</f>
        <v>-51.563370000000006</v>
      </c>
      <c r="U51" s="192">
        <f>M51+T51</f>
        <v>2061.63663</v>
      </c>
      <c r="W51" t="s">
        <v>380</v>
      </c>
      <c r="AC51" s="203"/>
      <c r="AD51" s="188">
        <f t="shared" si="3"/>
        <v>2061.63663</v>
      </c>
    </row>
    <row r="52" spans="1:30" ht="21.75" customHeight="1">
      <c r="A52" s="4"/>
      <c r="B52" s="129" t="s">
        <v>17</v>
      </c>
      <c r="C52" s="55" t="s">
        <v>14</v>
      </c>
      <c r="D52" s="55" t="s">
        <v>49</v>
      </c>
      <c r="E52" s="56" t="s">
        <v>18</v>
      </c>
      <c r="F52" s="57"/>
      <c r="G52" s="23">
        <f aca="true" t="shared" si="12" ref="G52:M53">G53</f>
        <v>13</v>
      </c>
      <c r="H52" s="105">
        <f t="shared" si="12"/>
        <v>0</v>
      </c>
      <c r="I52" s="106">
        <f t="shared" si="12"/>
        <v>13</v>
      </c>
      <c r="J52" s="105">
        <f t="shared" si="12"/>
        <v>0</v>
      </c>
      <c r="K52" s="27">
        <f t="shared" si="12"/>
        <v>13</v>
      </c>
      <c r="L52" s="107">
        <f t="shared" si="12"/>
        <v>0</v>
      </c>
      <c r="M52" s="113">
        <f t="shared" si="12"/>
        <v>13</v>
      </c>
      <c r="N52" s="11"/>
      <c r="O52" s="11"/>
      <c r="P52" s="11"/>
      <c r="T52" s="201">
        <f>T53</f>
        <v>-0.246</v>
      </c>
      <c r="U52" s="190">
        <f>U53</f>
        <v>12.754</v>
      </c>
      <c r="AC52" s="203"/>
      <c r="AD52" s="188">
        <f t="shared" si="3"/>
        <v>12.754</v>
      </c>
    </row>
    <row r="53" spans="1:30" ht="24.75" customHeight="1">
      <c r="A53" s="4"/>
      <c r="B53" s="130" t="s">
        <v>45</v>
      </c>
      <c r="C53" s="58" t="s">
        <v>14</v>
      </c>
      <c r="D53" s="58" t="s">
        <v>49</v>
      </c>
      <c r="E53" s="59" t="s">
        <v>33</v>
      </c>
      <c r="F53" s="60"/>
      <c r="G53" s="34">
        <f t="shared" si="12"/>
        <v>13</v>
      </c>
      <c r="H53" s="35">
        <f t="shared" si="12"/>
        <v>0</v>
      </c>
      <c r="I53" s="36">
        <f t="shared" si="12"/>
        <v>13</v>
      </c>
      <c r="J53" s="35">
        <f t="shared" si="12"/>
        <v>0</v>
      </c>
      <c r="K53" s="41">
        <f t="shared" si="12"/>
        <v>13</v>
      </c>
      <c r="L53" s="38">
        <f t="shared" si="12"/>
        <v>0</v>
      </c>
      <c r="M53" s="118">
        <f t="shared" si="12"/>
        <v>13</v>
      </c>
      <c r="N53" s="11"/>
      <c r="O53" s="11"/>
      <c r="P53" s="11"/>
      <c r="T53" s="199">
        <f>T54</f>
        <v>-0.246</v>
      </c>
      <c r="U53" s="191">
        <f>U54</f>
        <v>12.754</v>
      </c>
      <c r="AC53" s="203"/>
      <c r="AD53" s="188">
        <f t="shared" si="3"/>
        <v>12.754</v>
      </c>
    </row>
    <row r="54" spans="1:30" ht="34.5" customHeight="1">
      <c r="A54" s="4"/>
      <c r="B54" s="117" t="s">
        <v>78</v>
      </c>
      <c r="C54" s="48" t="s">
        <v>14</v>
      </c>
      <c r="D54" s="48" t="s">
        <v>49</v>
      </c>
      <c r="E54" s="61" t="s">
        <v>79</v>
      </c>
      <c r="F54" s="43" t="s">
        <v>42</v>
      </c>
      <c r="G54" s="34">
        <f>13</f>
        <v>13</v>
      </c>
      <c r="H54" s="35">
        <v>0</v>
      </c>
      <c r="I54" s="36">
        <f>13</f>
        <v>13</v>
      </c>
      <c r="J54" s="35">
        <v>0</v>
      </c>
      <c r="K54" s="41">
        <f>13</f>
        <v>13</v>
      </c>
      <c r="L54" s="38">
        <v>0</v>
      </c>
      <c r="M54" s="118">
        <f>13</f>
        <v>13</v>
      </c>
      <c r="N54" s="11"/>
      <c r="O54" s="11"/>
      <c r="P54" s="11"/>
      <c r="T54" s="199">
        <v>-0.246</v>
      </c>
      <c r="U54" s="191">
        <f>13+T54</f>
        <v>12.754</v>
      </c>
      <c r="W54" t="s">
        <v>379</v>
      </c>
      <c r="AC54" s="203"/>
      <c r="AD54" s="188">
        <f t="shared" si="3"/>
        <v>12.754</v>
      </c>
    </row>
    <row r="55" spans="1:30" ht="15" customHeight="1">
      <c r="A55" s="4"/>
      <c r="B55" s="112" t="s">
        <v>80</v>
      </c>
      <c r="C55" s="50" t="s">
        <v>16</v>
      </c>
      <c r="D55" s="50"/>
      <c r="E55" s="44"/>
      <c r="F55" s="43"/>
      <c r="G55" s="23">
        <f>G56</f>
        <v>719</v>
      </c>
      <c r="H55" s="105"/>
      <c r="I55" s="106">
        <f>I56</f>
        <v>719</v>
      </c>
      <c r="J55" s="105"/>
      <c r="K55" s="27">
        <f>K56</f>
        <v>719</v>
      </c>
      <c r="L55" s="107">
        <f>L57</f>
        <v>40.5</v>
      </c>
      <c r="M55" s="113">
        <f>M56</f>
        <v>759.5</v>
      </c>
      <c r="N55" s="11"/>
      <c r="O55" s="11"/>
      <c r="P55" s="11"/>
      <c r="T55" s="185"/>
      <c r="U55" s="189">
        <f>U56</f>
        <v>759.5</v>
      </c>
      <c r="AC55" s="203"/>
      <c r="AD55" s="188">
        <f t="shared" si="3"/>
        <v>759.5</v>
      </c>
    </row>
    <row r="56" spans="1:30" ht="17.25" customHeight="1">
      <c r="A56" s="4"/>
      <c r="B56" s="112" t="s">
        <v>81</v>
      </c>
      <c r="C56" s="50" t="s">
        <v>16</v>
      </c>
      <c r="D56" s="50" t="s">
        <v>25</v>
      </c>
      <c r="E56" s="51"/>
      <c r="F56" s="50"/>
      <c r="G56" s="23">
        <f>G57</f>
        <v>719</v>
      </c>
      <c r="H56" s="105"/>
      <c r="I56" s="106">
        <f>I57</f>
        <v>719</v>
      </c>
      <c r="J56" s="105">
        <f>J57</f>
        <v>0</v>
      </c>
      <c r="K56" s="27">
        <f>K57</f>
        <v>719</v>
      </c>
      <c r="L56" s="107">
        <f>L57</f>
        <v>40.5</v>
      </c>
      <c r="M56" s="113">
        <f>M57</f>
        <v>759.5</v>
      </c>
      <c r="N56" s="11"/>
      <c r="O56" s="11"/>
      <c r="P56" s="11"/>
      <c r="T56" s="185"/>
      <c r="U56" s="189">
        <f>U57</f>
        <v>759.5</v>
      </c>
      <c r="AC56" s="203"/>
      <c r="AD56" s="188">
        <f t="shared" si="3"/>
        <v>759.5</v>
      </c>
    </row>
    <row r="57" spans="1:30" ht="18.75" customHeight="1">
      <c r="A57" s="4"/>
      <c r="B57" s="126" t="s">
        <v>17</v>
      </c>
      <c r="C57" s="43" t="s">
        <v>16</v>
      </c>
      <c r="D57" s="43" t="s">
        <v>25</v>
      </c>
      <c r="E57" s="44" t="s">
        <v>32</v>
      </c>
      <c r="F57" s="43"/>
      <c r="G57" s="34">
        <f>G58</f>
        <v>719</v>
      </c>
      <c r="H57" s="35"/>
      <c r="I57" s="36">
        <f>I58</f>
        <v>719</v>
      </c>
      <c r="J57" s="35"/>
      <c r="K57" s="41">
        <f>K58</f>
        <v>719</v>
      </c>
      <c r="L57" s="38">
        <f>L58</f>
        <v>40.5</v>
      </c>
      <c r="M57" s="118">
        <f>M58</f>
        <v>759.5</v>
      </c>
      <c r="N57" s="11"/>
      <c r="O57" s="11"/>
      <c r="P57" s="11"/>
      <c r="T57" s="185"/>
      <c r="U57" s="186">
        <f>U58</f>
        <v>759.5</v>
      </c>
      <c r="AC57" s="203"/>
      <c r="AD57" s="188">
        <f t="shared" si="3"/>
        <v>759.5</v>
      </c>
    </row>
    <row r="58" spans="1:30" ht="20.25" customHeight="1">
      <c r="A58" s="4"/>
      <c r="B58" s="126" t="s">
        <v>19</v>
      </c>
      <c r="C58" s="43" t="s">
        <v>16</v>
      </c>
      <c r="D58" s="43" t="s">
        <v>25</v>
      </c>
      <c r="E58" s="44" t="s">
        <v>33</v>
      </c>
      <c r="F58" s="43"/>
      <c r="G58" s="34">
        <f>G59+G60</f>
        <v>719</v>
      </c>
      <c r="H58" s="35"/>
      <c r="I58" s="36">
        <f>I59+I60</f>
        <v>719</v>
      </c>
      <c r="J58" s="35"/>
      <c r="K58" s="41">
        <f>K59+K60</f>
        <v>719</v>
      </c>
      <c r="L58" s="38">
        <f>L59</f>
        <v>40.5</v>
      </c>
      <c r="M58" s="118">
        <f>M59+M60</f>
        <v>759.5</v>
      </c>
      <c r="N58" s="11"/>
      <c r="O58" s="11"/>
      <c r="P58" s="11"/>
      <c r="T58" s="185"/>
      <c r="U58" s="186">
        <f>U59+U60</f>
        <v>759.5</v>
      </c>
      <c r="AC58" s="203"/>
      <c r="AD58" s="188">
        <f t="shared" si="3"/>
        <v>759.5</v>
      </c>
    </row>
    <row r="59" spans="1:30" ht="180" customHeight="1">
      <c r="A59" s="4"/>
      <c r="B59" s="115" t="s">
        <v>82</v>
      </c>
      <c r="C59" s="43" t="s">
        <v>16</v>
      </c>
      <c r="D59" s="43" t="s">
        <v>25</v>
      </c>
      <c r="E59" s="44" t="s">
        <v>83</v>
      </c>
      <c r="F59" s="43" t="s">
        <v>23</v>
      </c>
      <c r="G59" s="34">
        <v>638.3</v>
      </c>
      <c r="H59" s="35"/>
      <c r="I59" s="36">
        <v>638.3</v>
      </c>
      <c r="J59" s="35"/>
      <c r="K59" s="41">
        <v>638.3</v>
      </c>
      <c r="L59" s="38">
        <f>31.1+9.4</f>
        <v>40.5</v>
      </c>
      <c r="M59" s="118">
        <f>638.3+31.1+9.4</f>
        <v>678.8</v>
      </c>
      <c r="N59" s="11"/>
      <c r="O59" s="11"/>
      <c r="P59" s="11"/>
      <c r="T59" s="185"/>
      <c r="U59" s="186">
        <f>638.3+31.1+9.4</f>
        <v>678.8</v>
      </c>
      <c r="AC59" s="203"/>
      <c r="AD59" s="188">
        <f t="shared" si="3"/>
        <v>678.8</v>
      </c>
    </row>
    <row r="60" spans="1:30" ht="115.5" customHeight="1">
      <c r="A60" s="4"/>
      <c r="B60" s="115" t="s">
        <v>84</v>
      </c>
      <c r="C60" s="43" t="s">
        <v>16</v>
      </c>
      <c r="D60" s="43" t="s">
        <v>25</v>
      </c>
      <c r="E60" s="44" t="s">
        <v>83</v>
      </c>
      <c r="F60" s="43" t="s">
        <v>28</v>
      </c>
      <c r="G60" s="34">
        <v>80.7</v>
      </c>
      <c r="H60" s="35"/>
      <c r="I60" s="36">
        <v>80.7</v>
      </c>
      <c r="J60" s="35"/>
      <c r="K60" s="41">
        <v>80.7</v>
      </c>
      <c r="L60" s="38"/>
      <c r="M60" s="118">
        <v>80.7</v>
      </c>
      <c r="N60" s="11"/>
      <c r="O60" s="11"/>
      <c r="P60" s="11"/>
      <c r="T60" s="185"/>
      <c r="U60" s="186">
        <v>80.7</v>
      </c>
      <c r="AC60" s="203"/>
      <c r="AD60" s="188">
        <f t="shared" si="3"/>
        <v>80.7</v>
      </c>
    </row>
    <row r="61" spans="1:30" ht="39" customHeight="1">
      <c r="A61" s="4"/>
      <c r="B61" s="112" t="s">
        <v>85</v>
      </c>
      <c r="C61" s="50" t="s">
        <v>25</v>
      </c>
      <c r="D61" s="50"/>
      <c r="E61" s="51"/>
      <c r="F61" s="50"/>
      <c r="G61" s="23">
        <f aca="true" t="shared" si="13" ref="G61:M61">G62+G69</f>
        <v>969.9</v>
      </c>
      <c r="H61" s="105">
        <f t="shared" si="13"/>
        <v>27.9</v>
      </c>
      <c r="I61" s="106">
        <f t="shared" si="13"/>
        <v>997.8</v>
      </c>
      <c r="J61" s="105">
        <f t="shared" si="13"/>
        <v>0</v>
      </c>
      <c r="K61" s="27">
        <f t="shared" si="13"/>
        <v>997.8</v>
      </c>
      <c r="L61" s="107">
        <f t="shared" si="13"/>
        <v>0</v>
      </c>
      <c r="M61" s="113">
        <f t="shared" si="13"/>
        <v>997.8</v>
      </c>
      <c r="N61" s="11"/>
      <c r="O61" s="11"/>
      <c r="P61" s="11"/>
      <c r="T61" s="185">
        <f>T62+T69</f>
        <v>-69.3</v>
      </c>
      <c r="U61" s="189">
        <f>U62+U69</f>
        <v>928.5</v>
      </c>
      <c r="AC61" s="203"/>
      <c r="AD61" s="188">
        <f t="shared" si="3"/>
        <v>928.5</v>
      </c>
    </row>
    <row r="62" spans="1:30" ht="66.75" customHeight="1">
      <c r="A62" s="4"/>
      <c r="B62" s="112" t="s">
        <v>86</v>
      </c>
      <c r="C62" s="50" t="s">
        <v>25</v>
      </c>
      <c r="D62" s="50" t="s">
        <v>87</v>
      </c>
      <c r="E62" s="51"/>
      <c r="F62" s="50"/>
      <c r="G62" s="23">
        <f aca="true" t="shared" si="14" ref="G62:M62">G63+G66</f>
        <v>959.9</v>
      </c>
      <c r="H62" s="105">
        <f t="shared" si="14"/>
        <v>27.9</v>
      </c>
      <c r="I62" s="106">
        <f t="shared" si="14"/>
        <v>987.8</v>
      </c>
      <c r="J62" s="105">
        <f t="shared" si="14"/>
        <v>0</v>
      </c>
      <c r="K62" s="27">
        <f t="shared" si="14"/>
        <v>987.8</v>
      </c>
      <c r="L62" s="107">
        <f t="shared" si="14"/>
        <v>0</v>
      </c>
      <c r="M62" s="113">
        <f t="shared" si="14"/>
        <v>987.8</v>
      </c>
      <c r="N62" s="11"/>
      <c r="O62" s="11"/>
      <c r="P62" s="11"/>
      <c r="T62" s="185">
        <f>T63+T66</f>
        <v>-68.3</v>
      </c>
      <c r="U62" s="189">
        <f>U63+U66</f>
        <v>919.5</v>
      </c>
      <c r="AC62" s="203"/>
      <c r="AD62" s="188">
        <f t="shared" si="3"/>
        <v>919.5</v>
      </c>
    </row>
    <row r="63" spans="1:30" ht="84" customHeight="1" hidden="1">
      <c r="A63" s="4"/>
      <c r="B63" s="112" t="s">
        <v>88</v>
      </c>
      <c r="C63" s="50" t="s">
        <v>25</v>
      </c>
      <c r="D63" s="50" t="s">
        <v>87</v>
      </c>
      <c r="E63" s="51" t="s">
        <v>30</v>
      </c>
      <c r="F63" s="50"/>
      <c r="G63" s="23">
        <f>G64</f>
        <v>80.5</v>
      </c>
      <c r="H63" s="105"/>
      <c r="I63" s="106">
        <f>I64</f>
        <v>80.5</v>
      </c>
      <c r="J63" s="105"/>
      <c r="K63" s="27">
        <f aca="true" t="shared" si="15" ref="K63:M64">K64</f>
        <v>80.5</v>
      </c>
      <c r="L63" s="27">
        <f t="shared" si="15"/>
        <v>-12.2</v>
      </c>
      <c r="M63" s="113">
        <f t="shared" si="15"/>
        <v>68.3</v>
      </c>
      <c r="N63" s="11"/>
      <c r="O63" s="11"/>
      <c r="P63" s="11"/>
      <c r="T63" s="185">
        <f>T64</f>
        <v>-68.3</v>
      </c>
      <c r="U63" s="189">
        <f>U64</f>
        <v>0</v>
      </c>
      <c r="AC63" s="203"/>
      <c r="AD63" s="188">
        <f t="shared" si="3"/>
        <v>0</v>
      </c>
    </row>
    <row r="64" spans="1:30" ht="35.25" customHeight="1" hidden="1">
      <c r="A64" s="4"/>
      <c r="B64" s="126" t="s">
        <v>89</v>
      </c>
      <c r="C64" s="43" t="s">
        <v>25</v>
      </c>
      <c r="D64" s="43" t="s">
        <v>87</v>
      </c>
      <c r="E64" s="44" t="s">
        <v>90</v>
      </c>
      <c r="F64" s="43"/>
      <c r="G64" s="34">
        <f>G65</f>
        <v>80.5</v>
      </c>
      <c r="H64" s="35"/>
      <c r="I64" s="36">
        <f>I65</f>
        <v>80.5</v>
      </c>
      <c r="J64" s="35"/>
      <c r="K64" s="41">
        <f t="shared" si="15"/>
        <v>80.5</v>
      </c>
      <c r="L64" s="41">
        <f t="shared" si="15"/>
        <v>-12.2</v>
      </c>
      <c r="M64" s="118">
        <f t="shared" si="15"/>
        <v>68.3</v>
      </c>
      <c r="N64" s="11"/>
      <c r="O64" s="11"/>
      <c r="P64" s="11"/>
      <c r="T64" s="185">
        <f>T65</f>
        <v>-68.3</v>
      </c>
      <c r="U64" s="186">
        <f>U65</f>
        <v>0</v>
      </c>
      <c r="AC64" s="203"/>
      <c r="AD64" s="188">
        <f t="shared" si="3"/>
        <v>0</v>
      </c>
    </row>
    <row r="65" spans="1:30" ht="68.25" customHeight="1" hidden="1">
      <c r="A65" s="4"/>
      <c r="B65" s="131" t="s">
        <v>91</v>
      </c>
      <c r="C65" s="43" t="s">
        <v>25</v>
      </c>
      <c r="D65" s="43" t="s">
        <v>87</v>
      </c>
      <c r="E65" s="44" t="s">
        <v>92</v>
      </c>
      <c r="F65" s="43" t="s">
        <v>28</v>
      </c>
      <c r="G65" s="34">
        <v>80.5</v>
      </c>
      <c r="H65" s="35">
        <v>0</v>
      </c>
      <c r="I65" s="36">
        <v>80.5</v>
      </c>
      <c r="J65" s="35">
        <v>0</v>
      </c>
      <c r="K65" s="41">
        <v>80.5</v>
      </c>
      <c r="L65" s="41">
        <v>-12.2</v>
      </c>
      <c r="M65" s="118">
        <f>80.5-12.2</f>
        <v>68.3</v>
      </c>
      <c r="N65" s="11"/>
      <c r="O65" s="11"/>
      <c r="P65" s="11"/>
      <c r="T65" s="185">
        <f>-67.1-1.2</f>
        <v>-68.3</v>
      </c>
      <c r="U65" s="186">
        <f>80.5-12.2+T65</f>
        <v>0</v>
      </c>
      <c r="W65" t="s">
        <v>378</v>
      </c>
      <c r="AC65" s="203"/>
      <c r="AD65" s="188">
        <f t="shared" si="3"/>
        <v>0</v>
      </c>
    </row>
    <row r="66" spans="1:30" ht="18.75" customHeight="1">
      <c r="A66" s="4"/>
      <c r="B66" s="126" t="s">
        <v>93</v>
      </c>
      <c r="C66" s="43" t="s">
        <v>25</v>
      </c>
      <c r="D66" s="43" t="s">
        <v>87</v>
      </c>
      <c r="E66" s="44" t="s">
        <v>18</v>
      </c>
      <c r="F66" s="43"/>
      <c r="G66" s="34">
        <f aca="true" t="shared" si="16" ref="G66:M67">G67</f>
        <v>879.4</v>
      </c>
      <c r="H66" s="35">
        <f t="shared" si="16"/>
        <v>27.9</v>
      </c>
      <c r="I66" s="36">
        <f t="shared" si="16"/>
        <v>907.3</v>
      </c>
      <c r="J66" s="35">
        <f t="shared" si="16"/>
        <v>0</v>
      </c>
      <c r="K66" s="41">
        <f t="shared" si="16"/>
        <v>907.3</v>
      </c>
      <c r="L66" s="41">
        <f t="shared" si="16"/>
        <v>12.2</v>
      </c>
      <c r="M66" s="118">
        <f t="shared" si="16"/>
        <v>919.5</v>
      </c>
      <c r="N66" s="11"/>
      <c r="O66" s="11"/>
      <c r="P66" s="11"/>
      <c r="T66" s="185">
        <v>0</v>
      </c>
      <c r="U66" s="186">
        <f>U67</f>
        <v>919.5</v>
      </c>
      <c r="AC66" s="203"/>
      <c r="AD66" s="188">
        <f t="shared" si="3"/>
        <v>919.5</v>
      </c>
    </row>
    <row r="67" spans="1:30" ht="23.25" customHeight="1">
      <c r="A67" s="4"/>
      <c r="B67" s="126" t="s">
        <v>19</v>
      </c>
      <c r="C67" s="43" t="s">
        <v>25</v>
      </c>
      <c r="D67" s="43" t="s">
        <v>87</v>
      </c>
      <c r="E67" s="44" t="s">
        <v>33</v>
      </c>
      <c r="F67" s="43"/>
      <c r="G67" s="34">
        <f t="shared" si="16"/>
        <v>879.4</v>
      </c>
      <c r="H67" s="35">
        <f t="shared" si="16"/>
        <v>27.9</v>
      </c>
      <c r="I67" s="36">
        <f t="shared" si="16"/>
        <v>907.3</v>
      </c>
      <c r="J67" s="35">
        <f t="shared" si="16"/>
        <v>0</v>
      </c>
      <c r="K67" s="41">
        <f t="shared" si="16"/>
        <v>907.3</v>
      </c>
      <c r="L67" s="41">
        <f t="shared" si="16"/>
        <v>12.2</v>
      </c>
      <c r="M67" s="118">
        <f t="shared" si="16"/>
        <v>919.5</v>
      </c>
      <c r="N67" s="11"/>
      <c r="O67" s="11"/>
      <c r="P67" s="11"/>
      <c r="T67" s="185">
        <v>0</v>
      </c>
      <c r="U67" s="186">
        <f>U68</f>
        <v>919.5</v>
      </c>
      <c r="AC67" s="203"/>
      <c r="AD67" s="188">
        <f t="shared" si="3"/>
        <v>919.5</v>
      </c>
    </row>
    <row r="68" spans="1:30" ht="85.5" customHeight="1">
      <c r="A68" s="4"/>
      <c r="B68" s="131" t="s">
        <v>94</v>
      </c>
      <c r="C68" s="43" t="s">
        <v>25</v>
      </c>
      <c r="D68" s="43" t="s">
        <v>87</v>
      </c>
      <c r="E68" s="62" t="s">
        <v>95</v>
      </c>
      <c r="F68" s="63" t="s">
        <v>96</v>
      </c>
      <c r="G68" s="34">
        <v>879.4</v>
      </c>
      <c r="H68" s="35">
        <v>27.9</v>
      </c>
      <c r="I68" s="36">
        <f>879.4+27.9</f>
        <v>907.3</v>
      </c>
      <c r="J68" s="35">
        <v>0</v>
      </c>
      <c r="K68" s="41">
        <f>879.4+27.9</f>
        <v>907.3</v>
      </c>
      <c r="L68" s="41">
        <f>0+12.2</f>
        <v>12.2</v>
      </c>
      <c r="M68" s="118">
        <f>879.4+27.9+12.2</f>
        <v>919.5</v>
      </c>
      <c r="N68" s="11"/>
      <c r="O68" s="11"/>
      <c r="P68" s="11"/>
      <c r="T68" s="185">
        <v>0</v>
      </c>
      <c r="U68" s="186">
        <f>879.4+27.9+12.2</f>
        <v>919.5</v>
      </c>
      <c r="AC68" s="203"/>
      <c r="AD68" s="188">
        <f t="shared" si="3"/>
        <v>919.5</v>
      </c>
    </row>
    <row r="69" spans="1:30" ht="54.75" customHeight="1">
      <c r="A69" s="4"/>
      <c r="B69" s="132" t="s">
        <v>97</v>
      </c>
      <c r="C69" s="50" t="s">
        <v>25</v>
      </c>
      <c r="D69" s="50" t="s">
        <v>98</v>
      </c>
      <c r="E69" s="51"/>
      <c r="F69" s="50"/>
      <c r="G69" s="31">
        <f>G70</f>
        <v>10</v>
      </c>
      <c r="H69" s="105"/>
      <c r="I69" s="106">
        <f>I70</f>
        <v>10</v>
      </c>
      <c r="J69" s="105"/>
      <c r="K69" s="27">
        <f>K70</f>
        <v>10</v>
      </c>
      <c r="L69" s="107"/>
      <c r="M69" s="113">
        <f>M70</f>
        <v>10</v>
      </c>
      <c r="N69" s="11"/>
      <c r="O69" s="11"/>
      <c r="P69" s="11"/>
      <c r="T69" s="185">
        <f aca="true" t="shared" si="17" ref="T69:U71">T70</f>
        <v>-1</v>
      </c>
      <c r="U69" s="189">
        <f t="shared" si="17"/>
        <v>9</v>
      </c>
      <c r="AC69" s="203"/>
      <c r="AD69" s="188">
        <f t="shared" si="3"/>
        <v>9</v>
      </c>
    </row>
    <row r="70" spans="1:30" ht="99.75" customHeight="1">
      <c r="A70" s="4"/>
      <c r="B70" s="133" t="s">
        <v>99</v>
      </c>
      <c r="C70" s="64" t="s">
        <v>25</v>
      </c>
      <c r="D70" s="64" t="s">
        <v>98</v>
      </c>
      <c r="E70" s="65" t="s">
        <v>100</v>
      </c>
      <c r="F70" s="50"/>
      <c r="G70" s="31">
        <f>G71</f>
        <v>10</v>
      </c>
      <c r="H70" s="105"/>
      <c r="I70" s="106">
        <f>I71</f>
        <v>10</v>
      </c>
      <c r="J70" s="105"/>
      <c r="K70" s="27">
        <f>K71</f>
        <v>10</v>
      </c>
      <c r="L70" s="107"/>
      <c r="M70" s="113">
        <f>M71</f>
        <v>10</v>
      </c>
      <c r="N70" s="11"/>
      <c r="O70" s="11"/>
      <c r="P70" s="11"/>
      <c r="T70" s="185">
        <f t="shared" si="17"/>
        <v>-1</v>
      </c>
      <c r="U70" s="189">
        <f t="shared" si="17"/>
        <v>9</v>
      </c>
      <c r="AC70" s="203"/>
      <c r="AD70" s="188">
        <f t="shared" si="3"/>
        <v>9</v>
      </c>
    </row>
    <row r="71" spans="1:30" ht="67.5" customHeight="1">
      <c r="A71" s="4"/>
      <c r="B71" s="134" t="s">
        <v>101</v>
      </c>
      <c r="C71" s="66" t="s">
        <v>25</v>
      </c>
      <c r="D71" s="66" t="s">
        <v>98</v>
      </c>
      <c r="E71" s="45" t="s">
        <v>102</v>
      </c>
      <c r="F71" s="43"/>
      <c r="G71" s="39">
        <f>G72</f>
        <v>10</v>
      </c>
      <c r="H71" s="35"/>
      <c r="I71" s="36">
        <f>I72</f>
        <v>10</v>
      </c>
      <c r="J71" s="35"/>
      <c r="K71" s="41">
        <f>K72</f>
        <v>10</v>
      </c>
      <c r="L71" s="38"/>
      <c r="M71" s="118">
        <f>M72</f>
        <v>10</v>
      </c>
      <c r="N71" s="11"/>
      <c r="O71" s="11"/>
      <c r="P71" s="11"/>
      <c r="T71" s="185">
        <f t="shared" si="17"/>
        <v>-1</v>
      </c>
      <c r="U71" s="186">
        <f t="shared" si="17"/>
        <v>9</v>
      </c>
      <c r="AC71" s="203"/>
      <c r="AD71" s="188">
        <f t="shared" si="3"/>
        <v>9</v>
      </c>
    </row>
    <row r="72" spans="1:30" ht="66.75" customHeight="1">
      <c r="A72" s="4"/>
      <c r="B72" s="134" t="s">
        <v>53</v>
      </c>
      <c r="C72" s="66" t="s">
        <v>25</v>
      </c>
      <c r="D72" s="66" t="s">
        <v>98</v>
      </c>
      <c r="E72" s="45" t="s">
        <v>103</v>
      </c>
      <c r="F72" s="43" t="s">
        <v>28</v>
      </c>
      <c r="G72" s="39">
        <v>10</v>
      </c>
      <c r="H72" s="35"/>
      <c r="I72" s="36">
        <v>10</v>
      </c>
      <c r="J72" s="35"/>
      <c r="K72" s="41">
        <v>10</v>
      </c>
      <c r="L72" s="38"/>
      <c r="M72" s="118">
        <v>10</v>
      </c>
      <c r="N72" s="11"/>
      <c r="O72" s="11"/>
      <c r="P72" s="11"/>
      <c r="T72" s="185">
        <v>-1</v>
      </c>
      <c r="U72" s="186">
        <f>10+T72</f>
        <v>9</v>
      </c>
      <c r="W72" t="s">
        <v>377</v>
      </c>
      <c r="AC72" s="203"/>
      <c r="AD72" s="188">
        <f t="shared" si="3"/>
        <v>9</v>
      </c>
    </row>
    <row r="73" spans="1:30" ht="25.5" customHeight="1">
      <c r="A73" s="4"/>
      <c r="B73" s="132" t="s">
        <v>104</v>
      </c>
      <c r="C73" s="50" t="s">
        <v>30</v>
      </c>
      <c r="D73" s="50"/>
      <c r="E73" s="51"/>
      <c r="F73" s="50"/>
      <c r="G73" s="23">
        <f aca="true" t="shared" si="18" ref="G73:M73">G74+G78+G99</f>
        <v>15161.199999999999</v>
      </c>
      <c r="H73" s="105">
        <f t="shared" si="18"/>
        <v>7695.79191</v>
      </c>
      <c r="I73" s="105">
        <f t="shared" si="18"/>
        <v>22856.991909999997</v>
      </c>
      <c r="J73" s="105">
        <f t="shared" si="18"/>
        <v>3817.4000000000005</v>
      </c>
      <c r="K73" s="107">
        <f t="shared" si="18"/>
        <v>26674.39191</v>
      </c>
      <c r="L73" s="107">
        <f t="shared" si="18"/>
        <v>5432.302000000001</v>
      </c>
      <c r="M73" s="111">
        <f t="shared" si="18"/>
        <v>32106.69391</v>
      </c>
      <c r="N73" s="11"/>
      <c r="O73" s="11"/>
      <c r="P73" s="11"/>
      <c r="T73" s="187">
        <f>T78+T99</f>
        <v>-21.86833</v>
      </c>
      <c r="U73" s="188">
        <f>U74+U78+U99</f>
        <v>32084.825580000004</v>
      </c>
      <c r="AC73" s="203"/>
      <c r="AD73" s="188">
        <f t="shared" si="3"/>
        <v>32084.825580000004</v>
      </c>
    </row>
    <row r="74" spans="1:30" ht="15" customHeight="1" hidden="1">
      <c r="A74" s="4"/>
      <c r="B74" s="135" t="s">
        <v>105</v>
      </c>
      <c r="C74" s="50" t="s">
        <v>30</v>
      </c>
      <c r="D74" s="50" t="s">
        <v>14</v>
      </c>
      <c r="E74" s="51"/>
      <c r="F74" s="50"/>
      <c r="G74" s="23">
        <f aca="true" t="shared" si="19" ref="G74:M76">G75</f>
        <v>930</v>
      </c>
      <c r="H74" s="105">
        <f t="shared" si="19"/>
        <v>0</v>
      </c>
      <c r="I74" s="106">
        <f t="shared" si="19"/>
        <v>930</v>
      </c>
      <c r="J74" s="105">
        <f t="shared" si="19"/>
        <v>-930</v>
      </c>
      <c r="K74" s="107">
        <f t="shared" si="19"/>
        <v>0</v>
      </c>
      <c r="L74" s="107">
        <f t="shared" si="19"/>
        <v>9.237055564881302E-14</v>
      </c>
      <c r="M74" s="111">
        <f t="shared" si="19"/>
        <v>9.237055564881302E-14</v>
      </c>
      <c r="N74" s="11"/>
      <c r="O74" s="11"/>
      <c r="P74" s="11"/>
      <c r="T74" s="187"/>
      <c r="U74" s="188">
        <f>U75</f>
        <v>0</v>
      </c>
      <c r="AC74" s="203"/>
      <c r="AD74" s="188">
        <f t="shared" si="3"/>
        <v>0</v>
      </c>
    </row>
    <row r="75" spans="1:30" ht="22.5" customHeight="1" hidden="1">
      <c r="A75" s="4"/>
      <c r="B75" s="131" t="s">
        <v>17</v>
      </c>
      <c r="C75" s="43" t="s">
        <v>30</v>
      </c>
      <c r="D75" s="43" t="s">
        <v>14</v>
      </c>
      <c r="E75" s="44" t="s">
        <v>18</v>
      </c>
      <c r="F75" s="50"/>
      <c r="G75" s="34">
        <f t="shared" si="19"/>
        <v>930</v>
      </c>
      <c r="H75" s="35">
        <f t="shared" si="19"/>
        <v>0</v>
      </c>
      <c r="I75" s="36">
        <f t="shared" si="19"/>
        <v>930</v>
      </c>
      <c r="J75" s="35">
        <f t="shared" si="19"/>
        <v>-930</v>
      </c>
      <c r="K75" s="38">
        <f t="shared" si="19"/>
        <v>0</v>
      </c>
      <c r="L75" s="38">
        <f t="shared" si="19"/>
        <v>9.237055564881302E-14</v>
      </c>
      <c r="M75" s="136">
        <f t="shared" si="19"/>
        <v>9.237055564881302E-14</v>
      </c>
      <c r="N75" s="11"/>
      <c r="O75" s="11"/>
      <c r="P75" s="11"/>
      <c r="T75" s="187"/>
      <c r="U75" s="192">
        <f>U76</f>
        <v>0</v>
      </c>
      <c r="AC75" s="203"/>
      <c r="AD75" s="188">
        <f t="shared" si="3"/>
        <v>0</v>
      </c>
    </row>
    <row r="76" spans="1:30" ht="25.5" customHeight="1" hidden="1">
      <c r="A76" s="4"/>
      <c r="B76" s="126" t="s">
        <v>19</v>
      </c>
      <c r="C76" s="43" t="s">
        <v>30</v>
      </c>
      <c r="D76" s="43" t="s">
        <v>14</v>
      </c>
      <c r="E76" s="44" t="s">
        <v>33</v>
      </c>
      <c r="F76" s="50"/>
      <c r="G76" s="34">
        <f t="shared" si="19"/>
        <v>930</v>
      </c>
      <c r="H76" s="35">
        <f t="shared" si="19"/>
        <v>0</v>
      </c>
      <c r="I76" s="36">
        <f t="shared" si="19"/>
        <v>930</v>
      </c>
      <c r="J76" s="35">
        <f t="shared" si="19"/>
        <v>-930</v>
      </c>
      <c r="K76" s="38">
        <f t="shared" si="19"/>
        <v>0</v>
      </c>
      <c r="L76" s="38">
        <f t="shared" si="19"/>
        <v>9.237055564881302E-14</v>
      </c>
      <c r="M76" s="136">
        <f t="shared" si="19"/>
        <v>9.237055564881302E-14</v>
      </c>
      <c r="N76" s="11"/>
      <c r="O76" s="11"/>
      <c r="P76" s="11"/>
      <c r="T76" s="187"/>
      <c r="U76" s="192">
        <f>U77</f>
        <v>0</v>
      </c>
      <c r="AC76" s="203"/>
      <c r="AD76" s="188">
        <f t="shared" si="3"/>
        <v>0</v>
      </c>
    </row>
    <row r="77" spans="1:30" ht="78.75" hidden="1">
      <c r="A77" s="4"/>
      <c r="B77" s="134" t="s">
        <v>106</v>
      </c>
      <c r="C77" s="43" t="s">
        <v>30</v>
      </c>
      <c r="D77" s="43" t="s">
        <v>14</v>
      </c>
      <c r="E77" s="44" t="s">
        <v>107</v>
      </c>
      <c r="F77" s="43" t="s">
        <v>42</v>
      </c>
      <c r="G77" s="34">
        <v>930</v>
      </c>
      <c r="H77" s="35">
        <f>-749.42356+331.94108-125.665-386.7+386.7+125.665+417.48248</f>
        <v>0</v>
      </c>
      <c r="I77" s="36">
        <f>G77+H77</f>
        <v>930</v>
      </c>
      <c r="J77" s="35">
        <v>-930</v>
      </c>
      <c r="K77" s="38">
        <f>I77+J77</f>
        <v>0</v>
      </c>
      <c r="L77" s="38">
        <f>2820.9-1070-1220-500-30.9</f>
        <v>9.237055564881302E-14</v>
      </c>
      <c r="M77" s="136">
        <f>K77+L77</f>
        <v>9.237055564881302E-14</v>
      </c>
      <c r="N77" s="11">
        <f>-1220-500-30.9</f>
        <v>-1750.9</v>
      </c>
      <c r="O77" s="11"/>
      <c r="P77" s="11"/>
      <c r="T77" s="187"/>
      <c r="U77" s="192">
        <f>S77+T77</f>
        <v>0</v>
      </c>
      <c r="AC77" s="203"/>
      <c r="AD77" s="188">
        <f t="shared" si="3"/>
        <v>0</v>
      </c>
    </row>
    <row r="78" spans="1:30" ht="36.75" customHeight="1">
      <c r="A78" s="4"/>
      <c r="B78" s="120" t="s">
        <v>108</v>
      </c>
      <c r="C78" s="50" t="s">
        <v>30</v>
      </c>
      <c r="D78" s="50" t="s">
        <v>109</v>
      </c>
      <c r="E78" s="51"/>
      <c r="F78" s="50"/>
      <c r="G78" s="23">
        <f aca="true" t="shared" si="20" ref="G78:L78">G79+G96</f>
        <v>12419.4</v>
      </c>
      <c r="H78" s="105">
        <f t="shared" si="20"/>
        <v>7652.16791</v>
      </c>
      <c r="I78" s="106">
        <f t="shared" si="20"/>
        <v>20071.567909999998</v>
      </c>
      <c r="J78" s="105">
        <f t="shared" si="20"/>
        <v>4577.400000000001</v>
      </c>
      <c r="K78" s="107">
        <f t="shared" si="20"/>
        <v>24648.96791</v>
      </c>
      <c r="L78" s="107">
        <f t="shared" si="20"/>
        <v>5407.802000000001</v>
      </c>
      <c r="M78" s="111">
        <f>M79+M96</f>
        <v>30056.769910000003</v>
      </c>
      <c r="N78" s="11"/>
      <c r="O78" s="11"/>
      <c r="P78" s="11"/>
      <c r="T78" s="185">
        <f>T79+T96</f>
        <v>0</v>
      </c>
      <c r="U78" s="188">
        <f>U79+U96</f>
        <v>30056.769910000003</v>
      </c>
      <c r="AC78" s="203"/>
      <c r="AD78" s="188">
        <f t="shared" si="3"/>
        <v>30056.769910000003</v>
      </c>
    </row>
    <row r="79" spans="1:30" ht="86.25" customHeight="1">
      <c r="A79" s="4"/>
      <c r="B79" s="120" t="s">
        <v>110</v>
      </c>
      <c r="C79" s="50" t="s">
        <v>30</v>
      </c>
      <c r="D79" s="50" t="s">
        <v>109</v>
      </c>
      <c r="E79" s="51" t="s">
        <v>111</v>
      </c>
      <c r="F79" s="50"/>
      <c r="G79" s="23">
        <f>G80+G85+G90+G92+G94</f>
        <v>12119.4</v>
      </c>
      <c r="H79" s="105">
        <f>H80+H85+H90+H92+H94</f>
        <v>7652.16791</v>
      </c>
      <c r="I79" s="106">
        <f>G79+H79</f>
        <v>19771.567909999998</v>
      </c>
      <c r="J79" s="105">
        <f>J80+J85+J90+J92+J94</f>
        <v>4577.400000000001</v>
      </c>
      <c r="K79" s="107">
        <f>I79+J79</f>
        <v>24348.96791</v>
      </c>
      <c r="L79" s="107">
        <f>L80+L85+L90+L92+L94</f>
        <v>5197.832</v>
      </c>
      <c r="M79" s="111">
        <f>K79+L79</f>
        <v>29546.79991</v>
      </c>
      <c r="N79" s="11"/>
      <c r="O79" s="11"/>
      <c r="P79" s="11"/>
      <c r="T79" s="185">
        <f>T80+T85+T90+T92+T94</f>
        <v>0</v>
      </c>
      <c r="U79" s="188">
        <f>M79+T79</f>
        <v>29546.79991</v>
      </c>
      <c r="AC79" s="203"/>
      <c r="AD79" s="188">
        <f aca="true" t="shared" si="21" ref="AD79:AD142">U79+AC79</f>
        <v>29546.79991</v>
      </c>
    </row>
    <row r="80" spans="1:30" ht="82.5" customHeight="1">
      <c r="A80" s="4"/>
      <c r="B80" s="115" t="s">
        <v>112</v>
      </c>
      <c r="C80" s="43" t="s">
        <v>30</v>
      </c>
      <c r="D80" s="43" t="s">
        <v>109</v>
      </c>
      <c r="E80" s="44" t="s">
        <v>113</v>
      </c>
      <c r="F80" s="43"/>
      <c r="G80" s="34">
        <f>G81+G82</f>
        <v>3401.3</v>
      </c>
      <c r="H80" s="35">
        <f>H81+H82</f>
        <v>7533.2679100000005</v>
      </c>
      <c r="I80" s="106">
        <f>G80+H80</f>
        <v>10934.567910000002</v>
      </c>
      <c r="J80" s="35">
        <f>J82+J84</f>
        <v>4491.3</v>
      </c>
      <c r="K80" s="107">
        <f>K82+K84</f>
        <v>15425.86791</v>
      </c>
      <c r="L80" s="38">
        <f>L82+L84</f>
        <v>4324.777</v>
      </c>
      <c r="M80" s="111">
        <f>M82+M84</f>
        <v>19750.644910000003</v>
      </c>
      <c r="N80" s="11"/>
      <c r="O80" s="11"/>
      <c r="P80" s="11"/>
      <c r="T80" s="185"/>
      <c r="U80" s="188">
        <f>M80</f>
        <v>19750.644910000003</v>
      </c>
      <c r="AC80" s="203"/>
      <c r="AD80" s="188">
        <f t="shared" si="21"/>
        <v>19750.644910000003</v>
      </c>
    </row>
    <row r="81" spans="1:30" ht="94.5" hidden="1">
      <c r="A81" s="4"/>
      <c r="B81" s="119" t="s">
        <v>114</v>
      </c>
      <c r="C81" s="48" t="s">
        <v>30</v>
      </c>
      <c r="D81" s="48" t="s">
        <v>109</v>
      </c>
      <c r="E81" s="44" t="s">
        <v>115</v>
      </c>
      <c r="F81" s="43" t="s">
        <v>28</v>
      </c>
      <c r="G81" s="34">
        <v>0</v>
      </c>
      <c r="H81" s="35"/>
      <c r="I81" s="36">
        <v>0</v>
      </c>
      <c r="J81" s="35"/>
      <c r="K81" s="38">
        <v>0</v>
      </c>
      <c r="L81" s="38"/>
      <c r="M81" s="136">
        <v>0</v>
      </c>
      <c r="N81" s="11"/>
      <c r="O81" s="11"/>
      <c r="P81" s="11"/>
      <c r="T81" s="185"/>
      <c r="U81" s="192">
        <v>0</v>
      </c>
      <c r="AC81" s="203"/>
      <c r="AD81" s="188">
        <f t="shared" si="21"/>
        <v>0</v>
      </c>
    </row>
    <row r="82" spans="1:30" ht="131.25" customHeight="1">
      <c r="A82" s="4"/>
      <c r="B82" s="124" t="s">
        <v>116</v>
      </c>
      <c r="C82" s="67" t="s">
        <v>30</v>
      </c>
      <c r="D82" s="43" t="s">
        <v>109</v>
      </c>
      <c r="E82" s="44" t="s">
        <v>117</v>
      </c>
      <c r="F82" s="43" t="s">
        <v>28</v>
      </c>
      <c r="G82" s="34">
        <f>2755+646.3+500-500</f>
        <v>3401.3</v>
      </c>
      <c r="H82" s="35">
        <f>6102+1431.26791</f>
        <v>7533.2679100000005</v>
      </c>
      <c r="I82" s="106">
        <f>G82+H82</f>
        <v>10934.567910000002</v>
      </c>
      <c r="J82" s="35">
        <v>0</v>
      </c>
      <c r="K82" s="107">
        <f>I82+J82</f>
        <v>10934.567910000002</v>
      </c>
      <c r="L82" s="38">
        <v>0</v>
      </c>
      <c r="M82" s="111">
        <f>K82+L82</f>
        <v>10934.567910000002</v>
      </c>
      <c r="N82" s="11"/>
      <c r="O82" s="11"/>
      <c r="P82" s="11"/>
      <c r="T82" s="185"/>
      <c r="U82" s="188">
        <f>M82</f>
        <v>10934.567910000002</v>
      </c>
      <c r="AC82" s="203"/>
      <c r="AD82" s="188">
        <f t="shared" si="21"/>
        <v>10934.567910000002</v>
      </c>
    </row>
    <row r="83" spans="1:30" ht="36" customHeight="1">
      <c r="A83" s="4"/>
      <c r="B83" s="137" t="s">
        <v>118</v>
      </c>
      <c r="C83" s="67" t="s">
        <v>30</v>
      </c>
      <c r="D83" s="43" t="s">
        <v>109</v>
      </c>
      <c r="E83" s="44" t="s">
        <v>117</v>
      </c>
      <c r="F83" s="43" t="s">
        <v>28</v>
      </c>
      <c r="G83" s="34">
        <f>646.3+500-500</f>
        <v>646.3</v>
      </c>
      <c r="H83" s="35">
        <f>1431.2679+0.00001</f>
        <v>1431.26791</v>
      </c>
      <c r="I83" s="36">
        <f>646.3+500-500+1431.26791</f>
        <v>2077.5679099999998</v>
      </c>
      <c r="J83" s="35">
        <v>0</v>
      </c>
      <c r="K83" s="38">
        <f>646.3+500-500+1431.26791</f>
        <v>2077.5679099999998</v>
      </c>
      <c r="L83" s="38">
        <v>0</v>
      </c>
      <c r="M83" s="136">
        <f>646.3+500-500+1431.26791</f>
        <v>2077.5679099999998</v>
      </c>
      <c r="N83" s="11"/>
      <c r="O83" s="11"/>
      <c r="P83" s="11"/>
      <c r="T83" s="185"/>
      <c r="U83" s="192">
        <f>646.3+500-500+1431.26791</f>
        <v>2077.5679099999998</v>
      </c>
      <c r="AC83" s="203"/>
      <c r="AD83" s="188">
        <f t="shared" si="21"/>
        <v>2077.5679099999998</v>
      </c>
    </row>
    <row r="84" spans="1:30" ht="117" customHeight="1">
      <c r="A84" s="4"/>
      <c r="B84" s="138" t="s">
        <v>119</v>
      </c>
      <c r="C84" s="68" t="s">
        <v>30</v>
      </c>
      <c r="D84" s="48" t="s">
        <v>109</v>
      </c>
      <c r="E84" s="44" t="s">
        <v>120</v>
      </c>
      <c r="F84" s="43" t="s">
        <v>28</v>
      </c>
      <c r="G84" s="34">
        <v>0</v>
      </c>
      <c r="H84" s="35">
        <v>0</v>
      </c>
      <c r="I84" s="36">
        <v>0</v>
      </c>
      <c r="J84" s="34">
        <f>4491.3</f>
        <v>4491.3</v>
      </c>
      <c r="K84" s="41">
        <f>4491.3</f>
        <v>4491.3</v>
      </c>
      <c r="L84" s="37">
        <f>2718.3896+3355.3674-1496.7-2221.3+56.777+547+3+1496.7+2221.3-2000-355.757</f>
        <v>4324.777</v>
      </c>
      <c r="M84" s="116">
        <f>4491.3+L84</f>
        <v>8816.077000000001</v>
      </c>
      <c r="N84" s="11"/>
      <c r="O84" s="11"/>
      <c r="P84" s="11"/>
      <c r="T84" s="185"/>
      <c r="U84" s="191">
        <f>M84</f>
        <v>8816.077000000001</v>
      </c>
      <c r="AC84" s="203"/>
      <c r="AD84" s="188">
        <f t="shared" si="21"/>
        <v>8816.077000000001</v>
      </c>
    </row>
    <row r="85" spans="1:30" ht="51" customHeight="1">
      <c r="A85" s="4"/>
      <c r="B85" s="139" t="s">
        <v>121</v>
      </c>
      <c r="C85" s="68" t="s">
        <v>30</v>
      </c>
      <c r="D85" s="48" t="s">
        <v>109</v>
      </c>
      <c r="E85" s="49" t="s">
        <v>122</v>
      </c>
      <c r="F85" s="48"/>
      <c r="G85" s="34">
        <f>G86+G88</f>
        <v>4200</v>
      </c>
      <c r="H85" s="35">
        <f>H86+H88</f>
        <v>199.9</v>
      </c>
      <c r="I85" s="36">
        <f>I86+I88</f>
        <v>4399.9</v>
      </c>
      <c r="J85" s="35">
        <f>J86+J88</f>
        <v>81.032</v>
      </c>
      <c r="K85" s="37">
        <f>K86+K88</f>
        <v>4480.932</v>
      </c>
      <c r="L85" s="37">
        <f>L86+L88+L87</f>
        <v>2696</v>
      </c>
      <c r="M85" s="116">
        <f>M86+M88+M87</f>
        <v>7176.932</v>
      </c>
      <c r="N85" s="11"/>
      <c r="O85" s="11"/>
      <c r="P85" s="11"/>
      <c r="T85" s="187">
        <f>T86</f>
        <v>182.67385000000002</v>
      </c>
      <c r="U85" s="192">
        <f>U86+U88+U87</f>
        <v>7359.60585</v>
      </c>
      <c r="AC85" s="203"/>
      <c r="AD85" s="188">
        <f t="shared" si="21"/>
        <v>7359.60585</v>
      </c>
    </row>
    <row r="86" spans="1:30" ht="114" customHeight="1">
      <c r="A86" s="4"/>
      <c r="B86" s="115" t="s">
        <v>123</v>
      </c>
      <c r="C86" s="43" t="s">
        <v>30</v>
      </c>
      <c r="D86" s="43" t="s">
        <v>109</v>
      </c>
      <c r="E86" s="69" t="s">
        <v>124</v>
      </c>
      <c r="F86" s="43" t="s">
        <v>28</v>
      </c>
      <c r="G86" s="70">
        <f>4200+700-700</f>
        <v>4200</v>
      </c>
      <c r="H86" s="35">
        <f>118.9+81</f>
        <v>199.9</v>
      </c>
      <c r="I86" s="36">
        <f>4200+700-700+118.9+81</f>
        <v>4399.9</v>
      </c>
      <c r="J86" s="35">
        <f>0+81.032</f>
        <v>81.032</v>
      </c>
      <c r="K86" s="37">
        <f>4200+700-700+118.9+81+81.032</f>
        <v>4480.932</v>
      </c>
      <c r="L86" s="41">
        <f>2000-2000+2000</f>
        <v>2000</v>
      </c>
      <c r="M86" s="116">
        <f>4200+700-700+118.9+81+81.032+2000-2000+2000</f>
        <v>6480.932</v>
      </c>
      <c r="N86" s="11"/>
      <c r="O86" s="11"/>
      <c r="P86" s="11"/>
      <c r="T86" s="187">
        <f>105+77.67385</f>
        <v>182.67385000000002</v>
      </c>
      <c r="U86" s="192">
        <f>4200+700-700+118.9+81+81.032+2000-2000+2000+T86</f>
        <v>6663.60585</v>
      </c>
      <c r="W86" t="s">
        <v>375</v>
      </c>
      <c r="AC86" s="203"/>
      <c r="AD86" s="188">
        <f t="shared" si="21"/>
        <v>6663.60585</v>
      </c>
    </row>
    <row r="87" spans="1:30" ht="84.75" customHeight="1">
      <c r="A87" s="4"/>
      <c r="B87" s="115" t="s">
        <v>125</v>
      </c>
      <c r="C87" s="43" t="s">
        <v>30</v>
      </c>
      <c r="D87" s="43" t="s">
        <v>109</v>
      </c>
      <c r="E87" s="69" t="s">
        <v>124</v>
      </c>
      <c r="F87" s="43" t="s">
        <v>42</v>
      </c>
      <c r="G87" s="70"/>
      <c r="H87" s="35"/>
      <c r="I87" s="36"/>
      <c r="J87" s="35"/>
      <c r="K87" s="37">
        <v>0</v>
      </c>
      <c r="L87" s="38">
        <f>100</f>
        <v>100</v>
      </c>
      <c r="M87" s="118">
        <f>L87</f>
        <v>100</v>
      </c>
      <c r="N87" s="11"/>
      <c r="O87" s="11"/>
      <c r="P87" s="11"/>
      <c r="T87" s="185"/>
      <c r="U87" s="186">
        <f>M87</f>
        <v>100</v>
      </c>
      <c r="AC87" s="203"/>
      <c r="AD87" s="188">
        <f t="shared" si="21"/>
        <v>100</v>
      </c>
    </row>
    <row r="88" spans="1:30" ht="94.5">
      <c r="A88" s="4"/>
      <c r="B88" s="115" t="s">
        <v>126</v>
      </c>
      <c r="C88" s="43" t="s">
        <v>30</v>
      </c>
      <c r="D88" s="43" t="s">
        <v>109</v>
      </c>
      <c r="E88" s="71" t="s">
        <v>127</v>
      </c>
      <c r="F88" s="72" t="s">
        <v>28</v>
      </c>
      <c r="G88" s="34">
        <v>0</v>
      </c>
      <c r="H88" s="35"/>
      <c r="I88" s="36">
        <v>0</v>
      </c>
      <c r="J88" s="35"/>
      <c r="K88" s="46">
        <v>0</v>
      </c>
      <c r="L88" s="54">
        <f>298+L89</f>
        <v>596</v>
      </c>
      <c r="M88" s="118">
        <f>K88+L88</f>
        <v>596</v>
      </c>
      <c r="N88" s="11" t="s">
        <v>128</v>
      </c>
      <c r="O88" s="11"/>
      <c r="P88" s="11"/>
      <c r="T88" s="185"/>
      <c r="U88" s="186">
        <f>M88</f>
        <v>596</v>
      </c>
      <c r="AC88" s="203"/>
      <c r="AD88" s="188">
        <f t="shared" si="21"/>
        <v>596</v>
      </c>
    </row>
    <row r="89" spans="1:30" ht="69" customHeight="1">
      <c r="A89" s="4"/>
      <c r="B89" s="140" t="s">
        <v>129</v>
      </c>
      <c r="C89" s="73" t="s">
        <v>30</v>
      </c>
      <c r="D89" s="73" t="s">
        <v>109</v>
      </c>
      <c r="E89" s="74" t="s">
        <v>127</v>
      </c>
      <c r="F89" s="75" t="s">
        <v>28</v>
      </c>
      <c r="G89" s="34"/>
      <c r="H89" s="35"/>
      <c r="I89" s="36"/>
      <c r="J89" s="35"/>
      <c r="K89" s="46"/>
      <c r="L89" s="54">
        <f>190+108</f>
        <v>298</v>
      </c>
      <c r="M89" s="118">
        <f>K89+L89</f>
        <v>298</v>
      </c>
      <c r="N89" s="11"/>
      <c r="O89" s="11"/>
      <c r="P89" s="11"/>
      <c r="T89" s="185"/>
      <c r="U89" s="186">
        <f>M89</f>
        <v>298</v>
      </c>
      <c r="AC89" s="203"/>
      <c r="AD89" s="188">
        <f t="shared" si="21"/>
        <v>298</v>
      </c>
    </row>
    <row r="90" spans="1:30" ht="36.75" customHeight="1">
      <c r="A90" s="4"/>
      <c r="B90" s="141" t="s">
        <v>130</v>
      </c>
      <c r="C90" s="76" t="s">
        <v>30</v>
      </c>
      <c r="D90" s="76" t="s">
        <v>109</v>
      </c>
      <c r="E90" s="53" t="s">
        <v>131</v>
      </c>
      <c r="F90" s="43"/>
      <c r="G90" s="34">
        <f>G91</f>
        <v>700</v>
      </c>
      <c r="H90" s="35"/>
      <c r="I90" s="36">
        <f>I91</f>
        <v>700</v>
      </c>
      <c r="J90" s="35">
        <f>J91</f>
        <v>40</v>
      </c>
      <c r="K90" s="41">
        <f>K91</f>
        <v>740</v>
      </c>
      <c r="L90" s="38">
        <f>L91</f>
        <v>0</v>
      </c>
      <c r="M90" s="118">
        <f>M91</f>
        <v>740</v>
      </c>
      <c r="N90" s="11"/>
      <c r="O90" s="11"/>
      <c r="P90" s="11"/>
      <c r="T90" s="187">
        <f>T91</f>
        <v>-104.801</v>
      </c>
      <c r="U90" s="191">
        <f>U91</f>
        <v>635.199</v>
      </c>
      <c r="AC90" s="203"/>
      <c r="AD90" s="188">
        <f t="shared" si="21"/>
        <v>635.199</v>
      </c>
    </row>
    <row r="91" spans="1:30" ht="86.25" customHeight="1">
      <c r="A91" s="4"/>
      <c r="B91" s="115" t="s">
        <v>132</v>
      </c>
      <c r="C91" s="48" t="s">
        <v>30</v>
      </c>
      <c r="D91" s="48" t="s">
        <v>109</v>
      </c>
      <c r="E91" s="44" t="s">
        <v>133</v>
      </c>
      <c r="F91" s="43" t="s">
        <v>28</v>
      </c>
      <c r="G91" s="34">
        <f>1000-300</f>
        <v>700</v>
      </c>
      <c r="H91" s="35"/>
      <c r="I91" s="36">
        <f>1000-300</f>
        <v>700</v>
      </c>
      <c r="J91" s="35">
        <v>40</v>
      </c>
      <c r="K91" s="41">
        <f>1000-300+J91</f>
        <v>740</v>
      </c>
      <c r="L91" s="38">
        <v>0</v>
      </c>
      <c r="M91" s="118">
        <f>K91+L91</f>
        <v>740</v>
      </c>
      <c r="N91" s="11"/>
      <c r="O91" s="11"/>
      <c r="P91" s="11"/>
      <c r="T91" s="187">
        <f>-105+0.199</f>
        <v>-104.801</v>
      </c>
      <c r="U91" s="191">
        <f>M91+T91</f>
        <v>635.199</v>
      </c>
      <c r="W91" t="s">
        <v>374</v>
      </c>
      <c r="AC91" s="203"/>
      <c r="AD91" s="188">
        <f t="shared" si="21"/>
        <v>635.199</v>
      </c>
    </row>
    <row r="92" spans="1:30" ht="55.5" customHeight="1">
      <c r="A92" s="4"/>
      <c r="B92" s="115" t="s">
        <v>134</v>
      </c>
      <c r="C92" s="48" t="s">
        <v>30</v>
      </c>
      <c r="D92" s="48" t="s">
        <v>109</v>
      </c>
      <c r="E92" s="44" t="s">
        <v>135</v>
      </c>
      <c r="F92" s="43"/>
      <c r="G92" s="34">
        <f>G93</f>
        <v>900</v>
      </c>
      <c r="H92" s="35"/>
      <c r="I92" s="36">
        <f>I93</f>
        <v>900</v>
      </c>
      <c r="J92" s="35">
        <f>J93</f>
        <v>-40</v>
      </c>
      <c r="K92" s="41">
        <f>K93</f>
        <v>860</v>
      </c>
      <c r="L92" s="38">
        <f>L93</f>
        <v>-260.09999999999997</v>
      </c>
      <c r="M92" s="118">
        <f>M93</f>
        <v>599.9000000000001</v>
      </c>
      <c r="N92" s="11"/>
      <c r="O92" s="11"/>
      <c r="P92" s="11"/>
      <c r="T92" s="185"/>
      <c r="U92" s="186">
        <f>U93</f>
        <v>599.9000000000001</v>
      </c>
      <c r="AC92" s="203"/>
      <c r="AD92" s="188">
        <f t="shared" si="21"/>
        <v>599.9000000000001</v>
      </c>
    </row>
    <row r="93" spans="1:30" ht="147" customHeight="1">
      <c r="A93" s="4"/>
      <c r="B93" s="115" t="s">
        <v>136</v>
      </c>
      <c r="C93" s="77" t="s">
        <v>30</v>
      </c>
      <c r="D93" s="77" t="s">
        <v>109</v>
      </c>
      <c r="E93" s="62" t="s">
        <v>137</v>
      </c>
      <c r="F93" s="43" t="s">
        <v>28</v>
      </c>
      <c r="G93" s="34">
        <v>900</v>
      </c>
      <c r="H93" s="35"/>
      <c r="I93" s="36">
        <v>900</v>
      </c>
      <c r="J93" s="35">
        <v>-40</v>
      </c>
      <c r="K93" s="41">
        <f>900+J93</f>
        <v>860</v>
      </c>
      <c r="L93" s="38">
        <f>-100-56.777-103.323</f>
        <v>-260.09999999999997</v>
      </c>
      <c r="M93" s="118">
        <f>K93+L93</f>
        <v>599.9000000000001</v>
      </c>
      <c r="N93" s="11"/>
      <c r="O93" s="11"/>
      <c r="P93" s="11"/>
      <c r="T93" s="185"/>
      <c r="U93" s="186">
        <f>M93</f>
        <v>599.9000000000001</v>
      </c>
      <c r="AC93" s="203"/>
      <c r="AD93" s="188">
        <f t="shared" si="21"/>
        <v>599.9000000000001</v>
      </c>
    </row>
    <row r="94" spans="1:30" ht="53.25" customHeight="1">
      <c r="A94" s="4"/>
      <c r="B94" s="115" t="s">
        <v>138</v>
      </c>
      <c r="C94" s="77" t="s">
        <v>30</v>
      </c>
      <c r="D94" s="77" t="s">
        <v>109</v>
      </c>
      <c r="E94" s="62" t="s">
        <v>139</v>
      </c>
      <c r="F94" s="43"/>
      <c r="G94" s="34">
        <f aca="true" t="shared" si="22" ref="G94:M94">G95</f>
        <v>2918.1</v>
      </c>
      <c r="H94" s="35">
        <f t="shared" si="22"/>
        <v>-81</v>
      </c>
      <c r="I94" s="36">
        <f t="shared" si="22"/>
        <v>2837.1</v>
      </c>
      <c r="J94" s="35">
        <f t="shared" si="22"/>
        <v>5.068000000000005</v>
      </c>
      <c r="K94" s="37">
        <f t="shared" si="22"/>
        <v>2842.1679999999997</v>
      </c>
      <c r="L94" s="37">
        <f t="shared" si="22"/>
        <v>-1562.8449999999998</v>
      </c>
      <c r="M94" s="116">
        <f t="shared" si="22"/>
        <v>1279.3229999999999</v>
      </c>
      <c r="N94" s="11"/>
      <c r="O94" s="11"/>
      <c r="P94" s="11"/>
      <c r="T94" s="187">
        <f>T95</f>
        <v>-77.87285</v>
      </c>
      <c r="U94" s="192">
        <f>U95</f>
        <v>1201.45015</v>
      </c>
      <c r="AC94" s="203"/>
      <c r="AD94" s="188">
        <f t="shared" si="21"/>
        <v>1201.45015</v>
      </c>
    </row>
    <row r="95" spans="1:30" ht="82.5" customHeight="1">
      <c r="A95" s="4"/>
      <c r="B95" s="115" t="s">
        <v>140</v>
      </c>
      <c r="C95" s="77" t="s">
        <v>30</v>
      </c>
      <c r="D95" s="77" t="s">
        <v>109</v>
      </c>
      <c r="E95" s="62" t="s">
        <v>141</v>
      </c>
      <c r="F95" s="43" t="s">
        <v>28</v>
      </c>
      <c r="G95" s="34">
        <f>300+700+718.1+700+500</f>
        <v>2918.1</v>
      </c>
      <c r="H95" s="35">
        <f>-1431.26791+1431.26791-81</f>
        <v>-81</v>
      </c>
      <c r="I95" s="36">
        <f>300+700+718.1+700+500-1431.26791-81+1431.26791</f>
        <v>2837.1</v>
      </c>
      <c r="J95" s="35">
        <f>0-81.032+54+32.1</f>
        <v>5.068000000000005</v>
      </c>
      <c r="K95" s="37">
        <f>300+700+718.1+700+500-1431.26791-81+1431.26791-81.032+54+32.1</f>
        <v>2842.1679999999997</v>
      </c>
      <c r="L95" s="85">
        <f>0-192.1-924.068-178.98115-40.6-224.09585-3</f>
        <v>-1562.8449999999998</v>
      </c>
      <c r="M95" s="116">
        <f>300+700+718.1+700+500-1431.26791-81+1431.26791-81.032+54+32.1-192.1-924.068-178.98115-40.6-224.09585-3</f>
        <v>1279.3229999999999</v>
      </c>
      <c r="N95" s="11" t="s">
        <v>128</v>
      </c>
      <c r="O95" s="11"/>
      <c r="P95" s="11"/>
      <c r="T95" s="187">
        <f>-0.199-77.67385</f>
        <v>-77.87285</v>
      </c>
      <c r="U95" s="192">
        <f>300+700+718.1+700+500-1431.26791-81+1431.26791-81.032+54+32.1-192.1-924.068-178.98115-40.6-224.09585-3+T95</f>
        <v>1201.45015</v>
      </c>
      <c r="W95" t="s">
        <v>376</v>
      </c>
      <c r="AC95" s="203"/>
      <c r="AD95" s="188">
        <f t="shared" si="21"/>
        <v>1201.45015</v>
      </c>
    </row>
    <row r="96" spans="1:30" ht="164.25" customHeight="1">
      <c r="A96" s="4"/>
      <c r="B96" s="112" t="s">
        <v>142</v>
      </c>
      <c r="C96" s="50" t="s">
        <v>30</v>
      </c>
      <c r="D96" s="50" t="s">
        <v>109</v>
      </c>
      <c r="E96" s="51" t="s">
        <v>143</v>
      </c>
      <c r="F96" s="50"/>
      <c r="G96" s="23">
        <f>G97</f>
        <v>300</v>
      </c>
      <c r="H96" s="105"/>
      <c r="I96" s="106">
        <f>I97</f>
        <v>300</v>
      </c>
      <c r="J96" s="105"/>
      <c r="K96" s="27">
        <f aca="true" t="shared" si="23" ref="K96:M97">K97</f>
        <v>300</v>
      </c>
      <c r="L96" s="30">
        <f t="shared" si="23"/>
        <v>209.97</v>
      </c>
      <c r="M96" s="113">
        <f t="shared" si="23"/>
        <v>509.97</v>
      </c>
      <c r="N96" s="11"/>
      <c r="O96" s="11"/>
      <c r="P96" s="11"/>
      <c r="T96" s="185"/>
      <c r="U96" s="189">
        <f>U97</f>
        <v>509.97</v>
      </c>
      <c r="AC96" s="203"/>
      <c r="AD96" s="188">
        <f t="shared" si="21"/>
        <v>509.97</v>
      </c>
    </row>
    <row r="97" spans="1:30" ht="51.75" customHeight="1">
      <c r="A97" s="4"/>
      <c r="B97" s="115" t="s">
        <v>144</v>
      </c>
      <c r="C97" s="63" t="s">
        <v>30</v>
      </c>
      <c r="D97" s="63" t="s">
        <v>109</v>
      </c>
      <c r="E97" s="62" t="s">
        <v>145</v>
      </c>
      <c r="F97" s="63"/>
      <c r="G97" s="34">
        <f>G98</f>
        <v>300</v>
      </c>
      <c r="H97" s="35"/>
      <c r="I97" s="36">
        <f>I98</f>
        <v>300</v>
      </c>
      <c r="J97" s="35"/>
      <c r="K97" s="41">
        <f t="shared" si="23"/>
        <v>300</v>
      </c>
      <c r="L97" s="37">
        <f t="shared" si="23"/>
        <v>209.97</v>
      </c>
      <c r="M97" s="118">
        <f t="shared" si="23"/>
        <v>509.97</v>
      </c>
      <c r="N97" s="11"/>
      <c r="O97" s="11"/>
      <c r="P97" s="11"/>
      <c r="T97" s="185"/>
      <c r="U97" s="186">
        <f>U98</f>
        <v>509.97</v>
      </c>
      <c r="AC97" s="203"/>
      <c r="AD97" s="188">
        <f t="shared" si="21"/>
        <v>509.97</v>
      </c>
    </row>
    <row r="98" spans="1:30" ht="189">
      <c r="A98" s="4"/>
      <c r="B98" s="115" t="s">
        <v>237</v>
      </c>
      <c r="C98" s="63" t="s">
        <v>30</v>
      </c>
      <c r="D98" s="63" t="s">
        <v>109</v>
      </c>
      <c r="E98" s="62" t="s">
        <v>146</v>
      </c>
      <c r="F98" s="63" t="s">
        <v>28</v>
      </c>
      <c r="G98" s="34">
        <v>300</v>
      </c>
      <c r="H98" s="35"/>
      <c r="I98" s="36">
        <v>300</v>
      </c>
      <c r="J98" s="35"/>
      <c r="K98" s="41">
        <v>300</v>
      </c>
      <c r="L98" s="37">
        <f>209.97</f>
        <v>209.97</v>
      </c>
      <c r="M98" s="118">
        <f>300+209.97</f>
        <v>509.97</v>
      </c>
      <c r="N98" s="11"/>
      <c r="O98" s="11"/>
      <c r="P98" s="11"/>
      <c r="T98" s="185"/>
      <c r="U98" s="186">
        <f>300+209.97</f>
        <v>509.97</v>
      </c>
      <c r="V98" s="11"/>
      <c r="AC98" s="203"/>
      <c r="AD98" s="188">
        <f t="shared" si="21"/>
        <v>509.97</v>
      </c>
    </row>
    <row r="99" spans="1:30" ht="37.5" customHeight="1">
      <c r="A99" s="4"/>
      <c r="B99" s="112" t="s">
        <v>147</v>
      </c>
      <c r="C99" s="50" t="s">
        <v>30</v>
      </c>
      <c r="D99" s="50" t="s">
        <v>148</v>
      </c>
      <c r="E99" s="51"/>
      <c r="F99" s="50"/>
      <c r="G99" s="23">
        <f aca="true" t="shared" si="24" ref="G99:M99">G100+G103+G106+G109+G112+G115</f>
        <v>1811.8</v>
      </c>
      <c r="H99" s="105">
        <f t="shared" si="24"/>
        <v>43.624</v>
      </c>
      <c r="I99" s="106">
        <f t="shared" si="24"/>
        <v>1855.424</v>
      </c>
      <c r="J99" s="105">
        <f t="shared" si="24"/>
        <v>170</v>
      </c>
      <c r="K99" s="30">
        <f t="shared" si="24"/>
        <v>2025.424</v>
      </c>
      <c r="L99" s="107">
        <f t="shared" si="24"/>
        <v>24.5</v>
      </c>
      <c r="M99" s="114">
        <f t="shared" si="24"/>
        <v>2049.924</v>
      </c>
      <c r="N99" s="11"/>
      <c r="O99" s="11"/>
      <c r="P99" s="11"/>
      <c r="T99" s="187">
        <f>T100+T103+T106+T109</f>
        <v>-21.86833</v>
      </c>
      <c r="U99" s="188">
        <f>M99+T99</f>
        <v>2028.05567</v>
      </c>
      <c r="V99" s="11"/>
      <c r="AC99" s="203"/>
      <c r="AD99" s="188">
        <f t="shared" si="21"/>
        <v>2028.05567</v>
      </c>
    </row>
    <row r="100" spans="1:30" ht="101.25" customHeight="1">
      <c r="A100" s="4"/>
      <c r="B100" s="112" t="s">
        <v>149</v>
      </c>
      <c r="C100" s="50" t="s">
        <v>30</v>
      </c>
      <c r="D100" s="50" t="s">
        <v>150</v>
      </c>
      <c r="E100" s="51" t="s">
        <v>151</v>
      </c>
      <c r="F100" s="50"/>
      <c r="G100" s="23">
        <f>G101</f>
        <v>100</v>
      </c>
      <c r="H100" s="105"/>
      <c r="I100" s="106">
        <f>I101</f>
        <v>100</v>
      </c>
      <c r="J100" s="105"/>
      <c r="K100" s="27">
        <f>K101</f>
        <v>100</v>
      </c>
      <c r="L100" s="107"/>
      <c r="M100" s="113">
        <f>M101</f>
        <v>100</v>
      </c>
      <c r="N100" s="11"/>
      <c r="O100" s="11"/>
      <c r="P100" s="11"/>
      <c r="T100" s="187">
        <f>T101</f>
        <v>-14.36833</v>
      </c>
      <c r="U100" s="188">
        <f>U101</f>
        <v>85.63167</v>
      </c>
      <c r="AC100" s="203"/>
      <c r="AD100" s="188">
        <f t="shared" si="21"/>
        <v>85.63167</v>
      </c>
    </row>
    <row r="101" spans="1:30" ht="36" customHeight="1">
      <c r="A101" s="4"/>
      <c r="B101" s="126" t="s">
        <v>152</v>
      </c>
      <c r="C101" s="43" t="s">
        <v>30</v>
      </c>
      <c r="D101" s="43" t="s">
        <v>148</v>
      </c>
      <c r="E101" s="44" t="s">
        <v>153</v>
      </c>
      <c r="F101" s="43"/>
      <c r="G101" s="34">
        <f>G102</f>
        <v>100</v>
      </c>
      <c r="H101" s="35"/>
      <c r="I101" s="36">
        <f>I102</f>
        <v>100</v>
      </c>
      <c r="J101" s="35"/>
      <c r="K101" s="41">
        <f>K102</f>
        <v>100</v>
      </c>
      <c r="L101" s="38"/>
      <c r="M101" s="118">
        <f>M102</f>
        <v>100</v>
      </c>
      <c r="N101" s="11"/>
      <c r="O101" s="11"/>
      <c r="P101" s="11"/>
      <c r="T101" s="187">
        <f>T102</f>
        <v>-14.36833</v>
      </c>
      <c r="U101" s="192">
        <f>U102</f>
        <v>85.63167</v>
      </c>
      <c r="AC101" s="203"/>
      <c r="AD101" s="188">
        <f t="shared" si="21"/>
        <v>85.63167</v>
      </c>
    </row>
    <row r="102" spans="1:30" ht="70.5" customHeight="1">
      <c r="A102" s="4"/>
      <c r="B102" s="126" t="s">
        <v>154</v>
      </c>
      <c r="C102" s="43" t="s">
        <v>30</v>
      </c>
      <c r="D102" s="43" t="s">
        <v>148</v>
      </c>
      <c r="E102" s="44" t="s">
        <v>155</v>
      </c>
      <c r="F102" s="43" t="s">
        <v>28</v>
      </c>
      <c r="G102" s="34">
        <v>100</v>
      </c>
      <c r="H102" s="35"/>
      <c r="I102" s="36">
        <v>100</v>
      </c>
      <c r="J102" s="35"/>
      <c r="K102" s="41">
        <v>100</v>
      </c>
      <c r="L102" s="38"/>
      <c r="M102" s="118">
        <v>100</v>
      </c>
      <c r="N102" s="11"/>
      <c r="O102" s="11"/>
      <c r="P102" s="11"/>
      <c r="T102" s="187">
        <f>-6-8.36833</f>
        <v>-14.36833</v>
      </c>
      <c r="U102" s="192">
        <f>100+T102</f>
        <v>85.63167</v>
      </c>
      <c r="W102" t="s">
        <v>373</v>
      </c>
      <c r="AC102" s="203"/>
      <c r="AD102" s="188">
        <f t="shared" si="21"/>
        <v>85.63167</v>
      </c>
    </row>
    <row r="103" spans="1:30" ht="125.25" customHeight="1">
      <c r="A103" s="4"/>
      <c r="B103" s="112" t="s">
        <v>156</v>
      </c>
      <c r="C103" s="50" t="s">
        <v>30</v>
      </c>
      <c r="D103" s="50" t="s">
        <v>148</v>
      </c>
      <c r="E103" s="51" t="s">
        <v>109</v>
      </c>
      <c r="F103" s="43"/>
      <c r="G103" s="23">
        <f>G104</f>
        <v>50</v>
      </c>
      <c r="H103" s="105"/>
      <c r="I103" s="106">
        <f>I104</f>
        <v>50</v>
      </c>
      <c r="J103" s="105"/>
      <c r="K103" s="27">
        <f>K104</f>
        <v>50</v>
      </c>
      <c r="L103" s="107"/>
      <c r="M103" s="113">
        <f>M104</f>
        <v>50</v>
      </c>
      <c r="N103" s="11"/>
      <c r="O103" s="11"/>
      <c r="P103" s="11"/>
      <c r="T103" s="185">
        <f>T105</f>
        <v>6</v>
      </c>
      <c r="U103" s="189">
        <f>U104</f>
        <v>56</v>
      </c>
      <c r="AC103" s="203"/>
      <c r="AD103" s="188">
        <f t="shared" si="21"/>
        <v>56</v>
      </c>
    </row>
    <row r="104" spans="1:30" ht="41.25" customHeight="1">
      <c r="A104" s="4"/>
      <c r="B104" s="126" t="s">
        <v>157</v>
      </c>
      <c r="C104" s="43" t="s">
        <v>30</v>
      </c>
      <c r="D104" s="43" t="s">
        <v>148</v>
      </c>
      <c r="E104" s="44" t="s">
        <v>158</v>
      </c>
      <c r="F104" s="43"/>
      <c r="G104" s="34">
        <f>G105</f>
        <v>50</v>
      </c>
      <c r="H104" s="35"/>
      <c r="I104" s="36">
        <f>I105</f>
        <v>50</v>
      </c>
      <c r="J104" s="35"/>
      <c r="K104" s="41">
        <f>K105</f>
        <v>50</v>
      </c>
      <c r="L104" s="38"/>
      <c r="M104" s="118">
        <f>M105</f>
        <v>50</v>
      </c>
      <c r="N104" s="11"/>
      <c r="O104" s="11"/>
      <c r="P104" s="11"/>
      <c r="T104" s="185">
        <f>T105</f>
        <v>6</v>
      </c>
      <c r="U104" s="186">
        <f>U105</f>
        <v>56</v>
      </c>
      <c r="AC104" s="203"/>
      <c r="AD104" s="188">
        <f t="shared" si="21"/>
        <v>56</v>
      </c>
    </row>
    <row r="105" spans="1:30" ht="68.25" customHeight="1">
      <c r="A105" s="4"/>
      <c r="B105" s="126" t="s">
        <v>53</v>
      </c>
      <c r="C105" s="43" t="s">
        <v>30</v>
      </c>
      <c r="D105" s="43" t="s">
        <v>148</v>
      </c>
      <c r="E105" s="44" t="s">
        <v>159</v>
      </c>
      <c r="F105" s="43" t="s">
        <v>28</v>
      </c>
      <c r="G105" s="34">
        <f>50</f>
        <v>50</v>
      </c>
      <c r="H105" s="35"/>
      <c r="I105" s="36">
        <f>50</f>
        <v>50</v>
      </c>
      <c r="J105" s="35"/>
      <c r="K105" s="41">
        <f>50</f>
        <v>50</v>
      </c>
      <c r="L105" s="38"/>
      <c r="M105" s="118">
        <f>50</f>
        <v>50</v>
      </c>
      <c r="N105" s="11"/>
      <c r="O105" s="11"/>
      <c r="P105" s="11"/>
      <c r="T105" s="185">
        <f>6</f>
        <v>6</v>
      </c>
      <c r="U105" s="186">
        <f>50+T105</f>
        <v>56</v>
      </c>
      <c r="W105" t="s">
        <v>372</v>
      </c>
      <c r="AC105" s="203"/>
      <c r="AD105" s="188">
        <f t="shared" si="21"/>
        <v>56</v>
      </c>
    </row>
    <row r="106" spans="1:30" ht="166.5" customHeight="1">
      <c r="A106" s="4"/>
      <c r="B106" s="112" t="s">
        <v>160</v>
      </c>
      <c r="C106" s="50" t="s">
        <v>30</v>
      </c>
      <c r="D106" s="50" t="s">
        <v>148</v>
      </c>
      <c r="E106" s="51" t="s">
        <v>87</v>
      </c>
      <c r="F106" s="50"/>
      <c r="G106" s="23">
        <f aca="true" t="shared" si="25" ref="G106:M107">G107</f>
        <v>60</v>
      </c>
      <c r="H106" s="105">
        <f t="shared" si="25"/>
        <v>0</v>
      </c>
      <c r="I106" s="106">
        <f t="shared" si="25"/>
        <v>60</v>
      </c>
      <c r="J106" s="105">
        <f t="shared" si="25"/>
        <v>70</v>
      </c>
      <c r="K106" s="27">
        <f t="shared" si="25"/>
        <v>130</v>
      </c>
      <c r="L106" s="107">
        <f t="shared" si="25"/>
        <v>0</v>
      </c>
      <c r="M106" s="113">
        <f t="shared" si="25"/>
        <v>130</v>
      </c>
      <c r="N106" s="11"/>
      <c r="O106" s="11"/>
      <c r="P106" s="11"/>
      <c r="T106" s="185">
        <f>T107</f>
        <v>-13.5</v>
      </c>
      <c r="U106" s="189">
        <f>U107</f>
        <v>116.5</v>
      </c>
      <c r="AC106" s="203"/>
      <c r="AD106" s="188">
        <f t="shared" si="21"/>
        <v>116.5</v>
      </c>
    </row>
    <row r="107" spans="1:30" ht="38.25" customHeight="1">
      <c r="A107" s="4"/>
      <c r="B107" s="126" t="s">
        <v>161</v>
      </c>
      <c r="C107" s="43" t="s">
        <v>30</v>
      </c>
      <c r="D107" s="43" t="s">
        <v>148</v>
      </c>
      <c r="E107" s="44" t="s">
        <v>162</v>
      </c>
      <c r="F107" s="43"/>
      <c r="G107" s="34">
        <f t="shared" si="25"/>
        <v>60</v>
      </c>
      <c r="H107" s="35">
        <f t="shared" si="25"/>
        <v>0</v>
      </c>
      <c r="I107" s="36">
        <f t="shared" si="25"/>
        <v>60</v>
      </c>
      <c r="J107" s="35">
        <f t="shared" si="25"/>
        <v>70</v>
      </c>
      <c r="K107" s="41">
        <f t="shared" si="25"/>
        <v>130</v>
      </c>
      <c r="L107" s="38">
        <f t="shared" si="25"/>
        <v>0</v>
      </c>
      <c r="M107" s="118">
        <f t="shared" si="25"/>
        <v>130</v>
      </c>
      <c r="N107" s="11"/>
      <c r="O107" s="11"/>
      <c r="P107" s="11"/>
      <c r="T107" s="185">
        <f>T108</f>
        <v>-13.5</v>
      </c>
      <c r="U107" s="186">
        <f>U108</f>
        <v>116.5</v>
      </c>
      <c r="AC107" s="203"/>
      <c r="AD107" s="188">
        <f t="shared" si="21"/>
        <v>116.5</v>
      </c>
    </row>
    <row r="108" spans="1:30" ht="69.75" customHeight="1">
      <c r="A108" s="4"/>
      <c r="B108" s="126" t="s">
        <v>53</v>
      </c>
      <c r="C108" s="43" t="s">
        <v>30</v>
      </c>
      <c r="D108" s="43" t="s">
        <v>148</v>
      </c>
      <c r="E108" s="44" t="s">
        <v>163</v>
      </c>
      <c r="F108" s="43" t="s">
        <v>28</v>
      </c>
      <c r="G108" s="34">
        <f>60</f>
        <v>60</v>
      </c>
      <c r="H108" s="35"/>
      <c r="I108" s="36">
        <f>60</f>
        <v>60</v>
      </c>
      <c r="J108" s="35">
        <f>70</f>
        <v>70</v>
      </c>
      <c r="K108" s="41">
        <f>60+70</f>
        <v>130</v>
      </c>
      <c r="L108" s="38">
        <v>0</v>
      </c>
      <c r="M108" s="118">
        <f>60+70</f>
        <v>130</v>
      </c>
      <c r="N108" s="11"/>
      <c r="O108" s="11"/>
      <c r="P108" s="11"/>
      <c r="T108" s="185">
        <v>-13.5</v>
      </c>
      <c r="U108" s="186">
        <f>60+70+T108</f>
        <v>116.5</v>
      </c>
      <c r="AC108" s="203"/>
      <c r="AD108" s="188">
        <f t="shared" si="21"/>
        <v>116.5</v>
      </c>
    </row>
    <row r="109" spans="1:30" ht="66.75" customHeight="1">
      <c r="A109" s="4"/>
      <c r="B109" s="112" t="s">
        <v>164</v>
      </c>
      <c r="C109" s="50" t="s">
        <v>30</v>
      </c>
      <c r="D109" s="50" t="s">
        <v>148</v>
      </c>
      <c r="E109" s="51" t="s">
        <v>44</v>
      </c>
      <c r="F109" s="43"/>
      <c r="G109" s="23">
        <f>G110</f>
        <v>10</v>
      </c>
      <c r="H109" s="105"/>
      <c r="I109" s="106">
        <f>I110</f>
        <v>10</v>
      </c>
      <c r="J109" s="105"/>
      <c r="K109" s="27">
        <f>K110</f>
        <v>10</v>
      </c>
      <c r="L109" s="107"/>
      <c r="M109" s="113">
        <f>M110</f>
        <v>10</v>
      </c>
      <c r="N109" s="11"/>
      <c r="O109" s="11"/>
      <c r="P109" s="11"/>
      <c r="T109" s="185"/>
      <c r="U109" s="189">
        <f>U110</f>
        <v>10</v>
      </c>
      <c r="AC109" s="203"/>
      <c r="AD109" s="188">
        <f t="shared" si="21"/>
        <v>10</v>
      </c>
    </row>
    <row r="110" spans="1:30" ht="57.75" customHeight="1">
      <c r="A110" s="4"/>
      <c r="B110" s="126" t="s">
        <v>165</v>
      </c>
      <c r="C110" s="43" t="s">
        <v>30</v>
      </c>
      <c r="D110" s="43" t="s">
        <v>148</v>
      </c>
      <c r="E110" s="44" t="s">
        <v>166</v>
      </c>
      <c r="F110" s="43"/>
      <c r="G110" s="34">
        <f>G111</f>
        <v>10</v>
      </c>
      <c r="H110" s="35"/>
      <c r="I110" s="36">
        <f>I111</f>
        <v>10</v>
      </c>
      <c r="J110" s="35"/>
      <c r="K110" s="41">
        <f>K111</f>
        <v>10</v>
      </c>
      <c r="L110" s="38"/>
      <c r="M110" s="118">
        <f>M111</f>
        <v>10</v>
      </c>
      <c r="N110" s="11"/>
      <c r="O110" s="11"/>
      <c r="P110" s="11"/>
      <c r="T110" s="185"/>
      <c r="U110" s="186">
        <f>U111</f>
        <v>10</v>
      </c>
      <c r="AC110" s="203"/>
      <c r="AD110" s="188">
        <f t="shared" si="21"/>
        <v>10</v>
      </c>
    </row>
    <row r="111" spans="1:30" ht="72" customHeight="1">
      <c r="A111" s="4"/>
      <c r="B111" s="126" t="s">
        <v>53</v>
      </c>
      <c r="C111" s="43" t="s">
        <v>30</v>
      </c>
      <c r="D111" s="43" t="s">
        <v>148</v>
      </c>
      <c r="E111" s="44" t="s">
        <v>167</v>
      </c>
      <c r="F111" s="43" t="s">
        <v>28</v>
      </c>
      <c r="G111" s="34">
        <f>10</f>
        <v>10</v>
      </c>
      <c r="H111" s="35"/>
      <c r="I111" s="36">
        <f>10</f>
        <v>10</v>
      </c>
      <c r="J111" s="35"/>
      <c r="K111" s="41">
        <f>10</f>
        <v>10</v>
      </c>
      <c r="L111" s="38"/>
      <c r="M111" s="118">
        <f>10</f>
        <v>10</v>
      </c>
      <c r="N111" s="11"/>
      <c r="O111" s="11"/>
      <c r="P111" s="11"/>
      <c r="T111" s="185"/>
      <c r="U111" s="186">
        <f>10</f>
        <v>10</v>
      </c>
      <c r="AC111" s="203"/>
      <c r="AD111" s="188">
        <f t="shared" si="21"/>
        <v>10</v>
      </c>
    </row>
    <row r="112" spans="1:30" ht="114.75" customHeight="1">
      <c r="A112" s="4"/>
      <c r="B112" s="112" t="s">
        <v>59</v>
      </c>
      <c r="C112" s="50" t="s">
        <v>30</v>
      </c>
      <c r="D112" s="50" t="s">
        <v>148</v>
      </c>
      <c r="E112" s="51" t="s">
        <v>16</v>
      </c>
      <c r="F112" s="43"/>
      <c r="G112" s="23">
        <f aca="true" t="shared" si="26" ref="G112:M113">G113</f>
        <v>1211.8</v>
      </c>
      <c r="H112" s="105">
        <f t="shared" si="26"/>
        <v>43.624</v>
      </c>
      <c r="I112" s="106">
        <f t="shared" si="26"/>
        <v>1255.424</v>
      </c>
      <c r="J112" s="23">
        <f t="shared" si="26"/>
        <v>0</v>
      </c>
      <c r="K112" s="30">
        <f t="shared" si="26"/>
        <v>1255.424</v>
      </c>
      <c r="L112" s="27">
        <f t="shared" si="26"/>
        <v>24.5</v>
      </c>
      <c r="M112" s="114">
        <f t="shared" si="26"/>
        <v>1279.924</v>
      </c>
      <c r="N112" s="11"/>
      <c r="O112" s="11"/>
      <c r="P112" s="11"/>
      <c r="T112" s="185"/>
      <c r="U112" s="190">
        <f>U113</f>
        <v>1279.924</v>
      </c>
      <c r="AC112" s="203"/>
      <c r="AD112" s="188">
        <f t="shared" si="21"/>
        <v>1279.924</v>
      </c>
    </row>
    <row r="113" spans="1:30" ht="36.75" customHeight="1">
      <c r="A113" s="4"/>
      <c r="B113" s="124" t="s">
        <v>168</v>
      </c>
      <c r="C113" s="43" t="s">
        <v>30</v>
      </c>
      <c r="D113" s="43" t="s">
        <v>148</v>
      </c>
      <c r="E113" s="44" t="s">
        <v>61</v>
      </c>
      <c r="F113" s="43"/>
      <c r="G113" s="34">
        <f t="shared" si="26"/>
        <v>1211.8</v>
      </c>
      <c r="H113" s="35">
        <f t="shared" si="26"/>
        <v>43.624</v>
      </c>
      <c r="I113" s="36">
        <f t="shared" si="26"/>
        <v>1255.424</v>
      </c>
      <c r="J113" s="34">
        <f t="shared" si="26"/>
        <v>0</v>
      </c>
      <c r="K113" s="37">
        <f t="shared" si="26"/>
        <v>1255.424</v>
      </c>
      <c r="L113" s="41">
        <f t="shared" si="26"/>
        <v>24.5</v>
      </c>
      <c r="M113" s="116">
        <f t="shared" si="26"/>
        <v>1279.924</v>
      </c>
      <c r="N113" s="11"/>
      <c r="O113" s="11"/>
      <c r="P113" s="11"/>
      <c r="T113" s="185"/>
      <c r="U113" s="191">
        <f>U114</f>
        <v>1279.924</v>
      </c>
      <c r="AC113" s="203"/>
      <c r="AD113" s="188">
        <f t="shared" si="21"/>
        <v>1279.924</v>
      </c>
    </row>
    <row r="114" spans="1:30" ht="180" customHeight="1">
      <c r="A114" s="4"/>
      <c r="B114" s="119" t="s">
        <v>62</v>
      </c>
      <c r="C114" s="48" t="s">
        <v>30</v>
      </c>
      <c r="D114" s="48" t="s">
        <v>148</v>
      </c>
      <c r="E114" s="49" t="s">
        <v>63</v>
      </c>
      <c r="F114" s="43" t="s">
        <v>23</v>
      </c>
      <c r="G114" s="34">
        <v>1211.8</v>
      </c>
      <c r="H114" s="35">
        <v>43.624</v>
      </c>
      <c r="I114" s="36">
        <f>1211.8+43.624</f>
        <v>1255.424</v>
      </c>
      <c r="J114" s="34">
        <v>0</v>
      </c>
      <c r="K114" s="37">
        <f>1211.8+43.624</f>
        <v>1255.424</v>
      </c>
      <c r="L114" s="41">
        <f>18.8+5.7</f>
        <v>24.5</v>
      </c>
      <c r="M114" s="116">
        <f>1211.8+43.624+18.8+5.7</f>
        <v>1279.924</v>
      </c>
      <c r="N114" s="11"/>
      <c r="O114" s="11"/>
      <c r="P114" s="11"/>
      <c r="T114" s="185"/>
      <c r="U114" s="191">
        <f>1211.8+43.624+18.8+5.7</f>
        <v>1279.924</v>
      </c>
      <c r="AC114" s="203"/>
      <c r="AD114" s="188">
        <f t="shared" si="21"/>
        <v>1279.924</v>
      </c>
    </row>
    <row r="115" spans="1:30" ht="68.25" customHeight="1">
      <c r="A115" s="4"/>
      <c r="B115" s="112" t="s">
        <v>169</v>
      </c>
      <c r="C115" s="78" t="s">
        <v>30</v>
      </c>
      <c r="D115" s="79" t="s">
        <v>148</v>
      </c>
      <c r="E115" s="80" t="s">
        <v>170</v>
      </c>
      <c r="F115" s="79"/>
      <c r="G115" s="23">
        <f>G116</f>
        <v>380</v>
      </c>
      <c r="H115" s="105"/>
      <c r="I115" s="106">
        <f aca="true" t="shared" si="27" ref="I115:M116">I116</f>
        <v>380</v>
      </c>
      <c r="J115" s="23">
        <f t="shared" si="27"/>
        <v>100</v>
      </c>
      <c r="K115" s="27">
        <f t="shared" si="27"/>
        <v>480</v>
      </c>
      <c r="L115" s="27">
        <f t="shared" si="27"/>
        <v>0</v>
      </c>
      <c r="M115" s="113">
        <f t="shared" si="27"/>
        <v>480</v>
      </c>
      <c r="N115" s="11"/>
      <c r="O115" s="11"/>
      <c r="P115" s="11"/>
      <c r="T115" s="185"/>
      <c r="U115" s="189">
        <f>U116</f>
        <v>480</v>
      </c>
      <c r="AC115" s="203"/>
      <c r="AD115" s="188">
        <f t="shared" si="21"/>
        <v>480</v>
      </c>
    </row>
    <row r="116" spans="1:30" ht="69" customHeight="1">
      <c r="A116" s="4"/>
      <c r="B116" s="127" t="s">
        <v>171</v>
      </c>
      <c r="C116" s="63" t="s">
        <v>30</v>
      </c>
      <c r="D116" s="63" t="s">
        <v>148</v>
      </c>
      <c r="E116" s="62" t="s">
        <v>172</v>
      </c>
      <c r="F116" s="63"/>
      <c r="G116" s="34">
        <f>G117</f>
        <v>380</v>
      </c>
      <c r="H116" s="35"/>
      <c r="I116" s="36">
        <f t="shared" si="27"/>
        <v>380</v>
      </c>
      <c r="J116" s="34">
        <f t="shared" si="27"/>
        <v>100</v>
      </c>
      <c r="K116" s="41">
        <f t="shared" si="27"/>
        <v>480</v>
      </c>
      <c r="L116" s="41">
        <f t="shared" si="27"/>
        <v>0</v>
      </c>
      <c r="M116" s="118">
        <f t="shared" si="27"/>
        <v>480</v>
      </c>
      <c r="N116" s="11"/>
      <c r="O116" s="11"/>
      <c r="P116" s="11"/>
      <c r="T116" s="185"/>
      <c r="U116" s="186">
        <f>U117</f>
        <v>480</v>
      </c>
      <c r="AC116" s="203"/>
      <c r="AD116" s="188">
        <f t="shared" si="21"/>
        <v>480</v>
      </c>
    </row>
    <row r="117" spans="1:30" ht="68.25" customHeight="1">
      <c r="A117" s="4"/>
      <c r="B117" s="124" t="s">
        <v>173</v>
      </c>
      <c r="C117" s="63" t="s">
        <v>30</v>
      </c>
      <c r="D117" s="63" t="s">
        <v>148</v>
      </c>
      <c r="E117" s="62" t="s">
        <v>174</v>
      </c>
      <c r="F117" s="63"/>
      <c r="G117" s="34">
        <f>G118</f>
        <v>380</v>
      </c>
      <c r="H117" s="35"/>
      <c r="I117" s="36">
        <f>I118</f>
        <v>380</v>
      </c>
      <c r="J117" s="34">
        <f>J118+J120</f>
        <v>100</v>
      </c>
      <c r="K117" s="41">
        <f>K118+K120</f>
        <v>480</v>
      </c>
      <c r="L117" s="41">
        <f>L118+L120</f>
        <v>0</v>
      </c>
      <c r="M117" s="118">
        <f>M118+M120</f>
        <v>480</v>
      </c>
      <c r="N117" s="11"/>
      <c r="O117" s="11"/>
      <c r="P117" s="11"/>
      <c r="T117" s="185"/>
      <c r="U117" s="186">
        <f>U118+U120</f>
        <v>480</v>
      </c>
      <c r="AC117" s="203"/>
      <c r="AD117" s="188">
        <f t="shared" si="21"/>
        <v>480</v>
      </c>
    </row>
    <row r="118" spans="1:30" ht="100.5" customHeight="1">
      <c r="A118" s="4"/>
      <c r="B118" s="119" t="s">
        <v>175</v>
      </c>
      <c r="C118" s="63" t="s">
        <v>30</v>
      </c>
      <c r="D118" s="63" t="s">
        <v>148</v>
      </c>
      <c r="E118" s="62" t="s">
        <v>176</v>
      </c>
      <c r="F118" s="63" t="s">
        <v>28</v>
      </c>
      <c r="G118" s="34">
        <v>380</v>
      </c>
      <c r="H118" s="35"/>
      <c r="I118" s="36">
        <v>380</v>
      </c>
      <c r="J118" s="34"/>
      <c r="K118" s="41">
        <v>380</v>
      </c>
      <c r="L118" s="41"/>
      <c r="M118" s="118">
        <v>380</v>
      </c>
      <c r="N118" s="11"/>
      <c r="O118" s="11"/>
      <c r="P118" s="11"/>
      <c r="T118" s="185"/>
      <c r="U118" s="186">
        <v>380</v>
      </c>
      <c r="AC118" s="203"/>
      <c r="AD118" s="188">
        <f t="shared" si="21"/>
        <v>380</v>
      </c>
    </row>
    <row r="119" spans="1:30" ht="36" customHeight="1">
      <c r="A119" s="4"/>
      <c r="B119" s="142" t="s">
        <v>118</v>
      </c>
      <c r="C119" s="81" t="s">
        <v>30</v>
      </c>
      <c r="D119" s="77" t="s">
        <v>148</v>
      </c>
      <c r="E119" s="82" t="s">
        <v>176</v>
      </c>
      <c r="F119" s="63" t="s">
        <v>28</v>
      </c>
      <c r="G119" s="34">
        <v>72.2</v>
      </c>
      <c r="H119" s="35"/>
      <c r="I119" s="36">
        <v>72.2</v>
      </c>
      <c r="J119" s="34"/>
      <c r="K119" s="41">
        <v>72.2</v>
      </c>
      <c r="L119" s="41"/>
      <c r="M119" s="118">
        <v>72.2</v>
      </c>
      <c r="N119" s="11"/>
      <c r="O119" s="11"/>
      <c r="P119" s="11"/>
      <c r="T119" s="185"/>
      <c r="U119" s="186">
        <v>72.2</v>
      </c>
      <c r="AC119" s="203"/>
      <c r="AD119" s="188">
        <f t="shared" si="21"/>
        <v>72.2</v>
      </c>
    </row>
    <row r="120" spans="1:30" ht="84.75" customHeight="1">
      <c r="A120" s="4"/>
      <c r="B120" s="143" t="s">
        <v>177</v>
      </c>
      <c r="C120" s="81" t="s">
        <v>30</v>
      </c>
      <c r="D120" s="77" t="s">
        <v>148</v>
      </c>
      <c r="E120" s="82" t="s">
        <v>178</v>
      </c>
      <c r="F120" s="63" t="s">
        <v>28</v>
      </c>
      <c r="G120" s="34">
        <v>0</v>
      </c>
      <c r="H120" s="35">
        <v>0</v>
      </c>
      <c r="I120" s="36">
        <v>0</v>
      </c>
      <c r="J120" s="34">
        <f>100</f>
        <v>100</v>
      </c>
      <c r="K120" s="41">
        <f>100</f>
        <v>100</v>
      </c>
      <c r="L120" s="41">
        <v>0</v>
      </c>
      <c r="M120" s="118">
        <f>100</f>
        <v>100</v>
      </c>
      <c r="N120" s="11"/>
      <c r="O120" s="11"/>
      <c r="P120" s="11"/>
      <c r="T120" s="185"/>
      <c r="U120" s="186">
        <f>100</f>
        <v>100</v>
      </c>
      <c r="AC120" s="203"/>
      <c r="AD120" s="188">
        <f t="shared" si="21"/>
        <v>100</v>
      </c>
    </row>
    <row r="121" spans="1:30" ht="36" customHeight="1">
      <c r="A121" s="4"/>
      <c r="B121" s="144" t="s">
        <v>179</v>
      </c>
      <c r="C121" s="50" t="s">
        <v>180</v>
      </c>
      <c r="D121" s="50"/>
      <c r="E121" s="44"/>
      <c r="F121" s="43"/>
      <c r="G121" s="23" t="e">
        <f>G122+G136+G164+G194</f>
        <v>#REF!</v>
      </c>
      <c r="H121" s="105">
        <f>H122+H136+H164+H194</f>
        <v>252337.30770999994</v>
      </c>
      <c r="I121" s="106" t="e">
        <f>G121+H121</f>
        <v>#REF!</v>
      </c>
      <c r="J121" s="105">
        <f>J122+J136+J164+J194</f>
        <v>784.55296</v>
      </c>
      <c r="K121" s="107" t="e">
        <f>I121+J121</f>
        <v>#REF!</v>
      </c>
      <c r="L121" s="107">
        <f>L122+L136+L164+L194</f>
        <v>8426.769760000001</v>
      </c>
      <c r="M121" s="111">
        <f>M122+M136+M164+M194</f>
        <v>277735.83043</v>
      </c>
      <c r="N121" s="11"/>
      <c r="O121" s="11"/>
      <c r="P121" s="11"/>
      <c r="T121" s="200">
        <f>T122+T136+T164+T194</f>
        <v>-3393.54024</v>
      </c>
      <c r="U121" s="188">
        <f>U122+U136+U164+U194</f>
        <v>274342.29018999997</v>
      </c>
      <c r="AC121" s="205">
        <f>AC122+AC136+AC164+AC194</f>
        <v>20726.8</v>
      </c>
      <c r="AD121" s="188">
        <f t="shared" si="21"/>
        <v>295069.09018999996</v>
      </c>
    </row>
    <row r="122" spans="1:30" ht="19.5" customHeight="1">
      <c r="A122" s="4"/>
      <c r="B122" s="112" t="s">
        <v>181</v>
      </c>
      <c r="C122" s="50" t="s">
        <v>180</v>
      </c>
      <c r="D122" s="50" t="s">
        <v>14</v>
      </c>
      <c r="E122" s="51"/>
      <c r="F122" s="50"/>
      <c r="G122" s="23" t="e">
        <f>G123+G133</f>
        <v>#REF!</v>
      </c>
      <c r="H122" s="105">
        <f>H123+H133</f>
        <v>245396.08169999995</v>
      </c>
      <c r="I122" s="106" t="e">
        <f>G122+H122</f>
        <v>#REF!</v>
      </c>
      <c r="J122" s="105">
        <f>J123+J133</f>
        <v>156.5</v>
      </c>
      <c r="K122" s="107" t="e">
        <f>I122+J122</f>
        <v>#REF!</v>
      </c>
      <c r="L122" s="107">
        <f>L123+L133</f>
        <v>2574.9030000000002</v>
      </c>
      <c r="M122" s="111">
        <f>M123+M133</f>
        <v>249865.88469999997</v>
      </c>
      <c r="N122" s="11"/>
      <c r="O122" s="11"/>
      <c r="P122" s="11"/>
      <c r="T122" s="200">
        <f>T123+T133</f>
        <v>-3389.94811</v>
      </c>
      <c r="U122" s="188">
        <f>U123+U133</f>
        <v>246475.93658999994</v>
      </c>
      <c r="AC122" s="203"/>
      <c r="AD122" s="188">
        <f t="shared" si="21"/>
        <v>246475.93658999994</v>
      </c>
    </row>
    <row r="123" spans="1:30" ht="99.75" customHeight="1">
      <c r="A123" s="4"/>
      <c r="B123" s="112" t="s">
        <v>182</v>
      </c>
      <c r="C123" s="79" t="s">
        <v>180</v>
      </c>
      <c r="D123" s="79" t="s">
        <v>14</v>
      </c>
      <c r="E123" s="80" t="s">
        <v>148</v>
      </c>
      <c r="F123" s="43"/>
      <c r="G123" s="23" t="e">
        <f>G124+G129</f>
        <v>#REF!</v>
      </c>
      <c r="H123" s="105">
        <f>H124+H129</f>
        <v>245354.08169999995</v>
      </c>
      <c r="I123" s="106" t="e">
        <f>G123+H123</f>
        <v>#REF!</v>
      </c>
      <c r="J123" s="105">
        <f>J124+J129</f>
        <v>156.5</v>
      </c>
      <c r="K123" s="107" t="e">
        <f>I123+J123</f>
        <v>#REF!</v>
      </c>
      <c r="L123" s="104">
        <f>L124+L129</f>
        <v>2574.9030000000002</v>
      </c>
      <c r="M123" s="111">
        <f>M124+M129</f>
        <v>248965.48469999997</v>
      </c>
      <c r="N123" s="11"/>
      <c r="O123" s="11"/>
      <c r="P123" s="11"/>
      <c r="T123" s="200">
        <f>T124+T129</f>
        <v>-3339.28889</v>
      </c>
      <c r="U123" s="188">
        <f>U124+U129</f>
        <v>245626.19580999995</v>
      </c>
      <c r="AC123" s="203"/>
      <c r="AD123" s="188">
        <f t="shared" si="21"/>
        <v>245626.19580999995</v>
      </c>
    </row>
    <row r="124" spans="1:30" ht="70.5" customHeight="1">
      <c r="A124" s="4"/>
      <c r="B124" s="112" t="s">
        <v>183</v>
      </c>
      <c r="C124" s="63" t="s">
        <v>180</v>
      </c>
      <c r="D124" s="63" t="s">
        <v>14</v>
      </c>
      <c r="E124" s="62" t="s">
        <v>184</v>
      </c>
      <c r="F124" s="63"/>
      <c r="G124" s="34" t="e">
        <f>#REF!+#REF!+#REF!+G125</f>
        <v>#REF!</v>
      </c>
      <c r="H124" s="34">
        <f>H125</f>
        <v>-763.1</v>
      </c>
      <c r="I124" s="34" t="e">
        <f>#REF!+#REF!+#REF!+I125</f>
        <v>#REF!</v>
      </c>
      <c r="J124" s="34">
        <f>J125</f>
        <v>156.5</v>
      </c>
      <c r="K124" s="41">
        <f>K125</f>
        <v>273.4</v>
      </c>
      <c r="L124" s="37">
        <f>L125</f>
        <v>2574.9030000000002</v>
      </c>
      <c r="M124" s="116">
        <f>M125</f>
        <v>2848.3030000000003</v>
      </c>
      <c r="N124" s="11"/>
      <c r="O124" s="11"/>
      <c r="P124" s="11"/>
      <c r="T124" s="187">
        <f>T125</f>
        <v>-28.588889999999992</v>
      </c>
      <c r="U124" s="192">
        <f>U125</f>
        <v>2819.7141100000003</v>
      </c>
      <c r="AC124" s="203"/>
      <c r="AD124" s="188">
        <f t="shared" si="21"/>
        <v>2819.7141100000003</v>
      </c>
    </row>
    <row r="125" spans="1:30" ht="69.75" customHeight="1">
      <c r="A125" s="4"/>
      <c r="B125" s="145" t="s">
        <v>193</v>
      </c>
      <c r="C125" s="63" t="s">
        <v>180</v>
      </c>
      <c r="D125" s="63" t="s">
        <v>14</v>
      </c>
      <c r="E125" s="62" t="s">
        <v>194</v>
      </c>
      <c r="F125" s="63"/>
      <c r="G125" s="34">
        <f>G126</f>
        <v>880</v>
      </c>
      <c r="H125" s="34">
        <f>H126+H128</f>
        <v>-763.1</v>
      </c>
      <c r="I125" s="34">
        <f>G125+H125</f>
        <v>116.89999999999998</v>
      </c>
      <c r="J125" s="34">
        <f>J126+J128</f>
        <v>156.5</v>
      </c>
      <c r="K125" s="41">
        <f>I125+J125</f>
        <v>273.4</v>
      </c>
      <c r="L125" s="37">
        <f>L126+L128+L127</f>
        <v>2574.9030000000002</v>
      </c>
      <c r="M125" s="116">
        <f aca="true" t="shared" si="28" ref="M125:M132">K125+L125</f>
        <v>2848.3030000000003</v>
      </c>
      <c r="N125" s="11"/>
      <c r="O125" s="11"/>
      <c r="P125" s="11"/>
      <c r="T125" s="187">
        <f>T126+T127+T128</f>
        <v>-28.588889999999992</v>
      </c>
      <c r="U125" s="192">
        <f aca="true" t="shared" si="29" ref="U125:U132">M125+T125</f>
        <v>2819.7141100000003</v>
      </c>
      <c r="AC125" s="203"/>
      <c r="AD125" s="188">
        <f t="shared" si="21"/>
        <v>2819.7141100000003</v>
      </c>
    </row>
    <row r="126" spans="1:30" ht="117" customHeight="1">
      <c r="A126" s="4"/>
      <c r="B126" s="145" t="s">
        <v>195</v>
      </c>
      <c r="C126" s="63" t="s">
        <v>180</v>
      </c>
      <c r="D126" s="63" t="s">
        <v>14</v>
      </c>
      <c r="E126" s="62" t="s">
        <v>196</v>
      </c>
      <c r="F126" s="63" t="s">
        <v>28</v>
      </c>
      <c r="G126" s="83">
        <f>80+800</f>
        <v>880</v>
      </c>
      <c r="H126" s="83">
        <f>-800</f>
        <v>-800</v>
      </c>
      <c r="I126" s="83">
        <f>G126+H126</f>
        <v>80</v>
      </c>
      <c r="J126" s="83">
        <f>0-17</f>
        <v>-17</v>
      </c>
      <c r="K126" s="84">
        <f>I126+J126</f>
        <v>63</v>
      </c>
      <c r="L126" s="84">
        <v>0</v>
      </c>
      <c r="M126" s="118">
        <f t="shared" si="28"/>
        <v>63</v>
      </c>
      <c r="N126" s="11"/>
      <c r="O126" s="11"/>
      <c r="P126" s="11"/>
      <c r="T126" s="185">
        <v>-3</v>
      </c>
      <c r="U126" s="186">
        <f t="shared" si="29"/>
        <v>60</v>
      </c>
      <c r="W126" t="s">
        <v>371</v>
      </c>
      <c r="AC126" s="203"/>
      <c r="AD126" s="188">
        <f t="shared" si="21"/>
        <v>60</v>
      </c>
    </row>
    <row r="127" spans="1:30" ht="117" customHeight="1">
      <c r="A127" s="4"/>
      <c r="B127" s="145" t="s">
        <v>197</v>
      </c>
      <c r="C127" s="63" t="s">
        <v>180</v>
      </c>
      <c r="D127" s="63" t="s">
        <v>14</v>
      </c>
      <c r="E127" s="62" t="s">
        <v>196</v>
      </c>
      <c r="F127" s="63" t="s">
        <v>188</v>
      </c>
      <c r="G127" s="83"/>
      <c r="H127" s="83"/>
      <c r="I127" s="83"/>
      <c r="J127" s="83"/>
      <c r="K127" s="84">
        <v>0</v>
      </c>
      <c r="L127" s="108">
        <f>1200.243+1220+30.9</f>
        <v>2451.143</v>
      </c>
      <c r="M127" s="146">
        <f t="shared" si="28"/>
        <v>2451.143</v>
      </c>
      <c r="N127" s="11" t="s">
        <v>354</v>
      </c>
      <c r="O127" s="11"/>
      <c r="P127" s="11"/>
      <c r="T127" s="199">
        <f>118.667</f>
        <v>118.667</v>
      </c>
      <c r="U127" s="193">
        <f t="shared" si="29"/>
        <v>2569.81</v>
      </c>
      <c r="W127" t="s">
        <v>364</v>
      </c>
      <c r="AC127" s="203"/>
      <c r="AD127" s="188">
        <f t="shared" si="21"/>
        <v>2569.81</v>
      </c>
    </row>
    <row r="128" spans="1:30" ht="99.75" customHeight="1">
      <c r="A128" s="4"/>
      <c r="B128" s="126" t="s">
        <v>198</v>
      </c>
      <c r="C128" s="63" t="s">
        <v>180</v>
      </c>
      <c r="D128" s="63" t="s">
        <v>14</v>
      </c>
      <c r="E128" s="62" t="s">
        <v>196</v>
      </c>
      <c r="F128" s="63" t="s">
        <v>42</v>
      </c>
      <c r="G128" s="34">
        <v>0</v>
      </c>
      <c r="H128" s="39">
        <v>36.9</v>
      </c>
      <c r="I128" s="39">
        <f>G128+H128</f>
        <v>36.9</v>
      </c>
      <c r="J128" s="39">
        <f>17+156.5</f>
        <v>173.5</v>
      </c>
      <c r="K128" s="41">
        <f>I128+J128</f>
        <v>210.4</v>
      </c>
      <c r="L128" s="85">
        <f>47.503+76.2+0.057</f>
        <v>123.76</v>
      </c>
      <c r="M128" s="116">
        <f t="shared" si="28"/>
        <v>334.16</v>
      </c>
      <c r="N128" s="11" t="s">
        <v>199</v>
      </c>
      <c r="O128" s="11"/>
      <c r="P128" s="11" t="s">
        <v>200</v>
      </c>
      <c r="T128" s="187">
        <f>-68.00778-76.24811</f>
        <v>-144.25589</v>
      </c>
      <c r="U128" s="192">
        <f t="shared" si="29"/>
        <v>189.90411000000003</v>
      </c>
      <c r="W128" t="s">
        <v>365</v>
      </c>
      <c r="Y128" t="s">
        <v>366</v>
      </c>
      <c r="AC128" s="203"/>
      <c r="AD128" s="188">
        <f t="shared" si="21"/>
        <v>189.90411000000003</v>
      </c>
    </row>
    <row r="129" spans="1:30" ht="99.75" customHeight="1">
      <c r="A129" s="4"/>
      <c r="B129" s="131" t="s">
        <v>201</v>
      </c>
      <c r="C129" s="63" t="s">
        <v>180</v>
      </c>
      <c r="D129" s="63" t="s">
        <v>14</v>
      </c>
      <c r="E129" s="86" t="s">
        <v>185</v>
      </c>
      <c r="F129" s="63"/>
      <c r="G129" s="34">
        <v>0</v>
      </c>
      <c r="H129" s="35">
        <f>H130+H131+H132</f>
        <v>246117.18169999996</v>
      </c>
      <c r="I129" s="36">
        <f>G129+H129</f>
        <v>246117.18169999996</v>
      </c>
      <c r="J129" s="35">
        <f>J130+J131+J132</f>
        <v>0</v>
      </c>
      <c r="K129" s="38">
        <f>I129+J129</f>
        <v>246117.18169999996</v>
      </c>
      <c r="L129" s="38">
        <f>L130+L131+L132</f>
        <v>0</v>
      </c>
      <c r="M129" s="136">
        <f t="shared" si="28"/>
        <v>246117.18169999996</v>
      </c>
      <c r="N129" s="11"/>
      <c r="O129" s="11"/>
      <c r="P129" s="11"/>
      <c r="T129" s="185">
        <f>T130+T131+T132</f>
        <v>-3310.7</v>
      </c>
      <c r="U129" s="192">
        <f t="shared" si="29"/>
        <v>242806.48169999995</v>
      </c>
      <c r="AC129" s="203"/>
      <c r="AD129" s="188">
        <f t="shared" si="21"/>
        <v>242806.48169999995</v>
      </c>
    </row>
    <row r="130" spans="1:30" ht="129" customHeight="1">
      <c r="A130" s="4"/>
      <c r="B130" s="126" t="s">
        <v>186</v>
      </c>
      <c r="C130" s="63" t="s">
        <v>180</v>
      </c>
      <c r="D130" s="63" t="s">
        <v>14</v>
      </c>
      <c r="E130" s="86" t="s">
        <v>187</v>
      </c>
      <c r="F130" s="63" t="s">
        <v>188</v>
      </c>
      <c r="G130" s="34">
        <v>0</v>
      </c>
      <c r="H130" s="35">
        <f>107133.0817+134084.8</f>
        <v>241217.88169999997</v>
      </c>
      <c r="I130" s="36">
        <f>G130+H130</f>
        <v>241217.88169999997</v>
      </c>
      <c r="J130" s="35">
        <v>0</v>
      </c>
      <c r="K130" s="38">
        <f>I130+J130</f>
        <v>241217.88169999997</v>
      </c>
      <c r="L130" s="38">
        <v>0</v>
      </c>
      <c r="M130" s="136">
        <f t="shared" si="28"/>
        <v>241217.88169999997</v>
      </c>
      <c r="N130" s="11"/>
      <c r="O130" s="11"/>
      <c r="P130" s="11"/>
      <c r="T130" s="185">
        <v>-3244.5</v>
      </c>
      <c r="U130" s="192">
        <f t="shared" si="29"/>
        <v>237973.38169999997</v>
      </c>
      <c r="W130" t="s">
        <v>367</v>
      </c>
      <c r="AC130" s="203"/>
      <c r="AD130" s="188">
        <f t="shared" si="21"/>
        <v>237973.38169999997</v>
      </c>
    </row>
    <row r="131" spans="1:30" ht="96.75" customHeight="1">
      <c r="A131" s="4"/>
      <c r="B131" s="126" t="s">
        <v>189</v>
      </c>
      <c r="C131" s="63" t="s">
        <v>180</v>
      </c>
      <c r="D131" s="63" t="s">
        <v>14</v>
      </c>
      <c r="E131" s="86" t="s">
        <v>190</v>
      </c>
      <c r="F131" s="63" t="s">
        <v>188</v>
      </c>
      <c r="G131" s="34">
        <v>0</v>
      </c>
      <c r="H131" s="35">
        <f>1622.2+2052.3</f>
        <v>3674.5</v>
      </c>
      <c r="I131" s="36">
        <f>G131+H131</f>
        <v>3674.5</v>
      </c>
      <c r="J131" s="35">
        <v>0</v>
      </c>
      <c r="K131" s="41">
        <f>I131+J131</f>
        <v>3674.5</v>
      </c>
      <c r="L131" s="38">
        <v>0</v>
      </c>
      <c r="M131" s="118">
        <f t="shared" si="28"/>
        <v>3674.5</v>
      </c>
      <c r="N131" s="11"/>
      <c r="O131" s="11"/>
      <c r="P131" s="11"/>
      <c r="T131" s="185">
        <f>-49.7</f>
        <v>-49.7</v>
      </c>
      <c r="U131" s="186">
        <f t="shared" si="29"/>
        <v>3624.8</v>
      </c>
      <c r="W131" t="s">
        <v>368</v>
      </c>
      <c r="AC131" s="203"/>
      <c r="AD131" s="188">
        <f t="shared" si="21"/>
        <v>3624.8</v>
      </c>
    </row>
    <row r="132" spans="1:30" ht="110.25">
      <c r="A132" s="4"/>
      <c r="B132" s="126" t="s">
        <v>191</v>
      </c>
      <c r="C132" s="63" t="s">
        <v>180</v>
      </c>
      <c r="D132" s="63" t="s">
        <v>14</v>
      </c>
      <c r="E132" s="86" t="s">
        <v>192</v>
      </c>
      <c r="F132" s="63" t="s">
        <v>188</v>
      </c>
      <c r="G132" s="34">
        <v>0</v>
      </c>
      <c r="H132" s="35">
        <f>800-259.3+684.1</f>
        <v>1224.8000000000002</v>
      </c>
      <c r="I132" s="36">
        <f>G132+H132</f>
        <v>1224.8000000000002</v>
      </c>
      <c r="J132" s="35">
        <v>0</v>
      </c>
      <c r="K132" s="41">
        <f>I132+J132</f>
        <v>1224.8000000000002</v>
      </c>
      <c r="L132" s="38">
        <v>0</v>
      </c>
      <c r="M132" s="118">
        <f t="shared" si="28"/>
        <v>1224.8000000000002</v>
      </c>
      <c r="N132" s="11"/>
      <c r="O132" s="11"/>
      <c r="P132" s="11"/>
      <c r="T132" s="185">
        <v>-16.5</v>
      </c>
      <c r="U132" s="186">
        <f t="shared" si="29"/>
        <v>1208.3000000000002</v>
      </c>
      <c r="W132" t="s">
        <v>369</v>
      </c>
      <c r="AC132" s="203"/>
      <c r="AD132" s="188">
        <f t="shared" si="21"/>
        <v>1208.3000000000002</v>
      </c>
    </row>
    <row r="133" spans="1:30" ht="54" customHeight="1">
      <c r="A133" s="4"/>
      <c r="B133" s="112" t="s">
        <v>202</v>
      </c>
      <c r="C133" s="50" t="s">
        <v>180</v>
      </c>
      <c r="D133" s="50" t="s">
        <v>14</v>
      </c>
      <c r="E133" s="51" t="s">
        <v>49</v>
      </c>
      <c r="F133" s="50"/>
      <c r="G133" s="23">
        <f aca="true" t="shared" si="30" ref="G133:M134">G134</f>
        <v>858.4</v>
      </c>
      <c r="H133" s="105">
        <f t="shared" si="30"/>
        <v>42</v>
      </c>
      <c r="I133" s="106">
        <f t="shared" si="30"/>
        <v>900.4</v>
      </c>
      <c r="J133" s="105">
        <f t="shared" si="30"/>
        <v>0</v>
      </c>
      <c r="K133" s="27">
        <f t="shared" si="30"/>
        <v>900.4</v>
      </c>
      <c r="L133" s="107">
        <f t="shared" si="30"/>
        <v>0</v>
      </c>
      <c r="M133" s="113">
        <f t="shared" si="30"/>
        <v>900.4</v>
      </c>
      <c r="N133" s="11"/>
      <c r="O133" s="11"/>
      <c r="P133" s="11"/>
      <c r="T133" s="200">
        <f>T134</f>
        <v>-50.65922</v>
      </c>
      <c r="U133" s="188">
        <f>U134</f>
        <v>849.74078</v>
      </c>
      <c r="AC133" s="203"/>
      <c r="AD133" s="188">
        <f t="shared" si="21"/>
        <v>849.74078</v>
      </c>
    </row>
    <row r="134" spans="1:30" ht="60" customHeight="1">
      <c r="A134" s="4"/>
      <c r="B134" s="130" t="s">
        <v>203</v>
      </c>
      <c r="C134" s="43" t="s">
        <v>180</v>
      </c>
      <c r="D134" s="43" t="s">
        <v>14</v>
      </c>
      <c r="E134" s="44" t="s">
        <v>204</v>
      </c>
      <c r="F134" s="43"/>
      <c r="G134" s="34">
        <f t="shared" si="30"/>
        <v>858.4</v>
      </c>
      <c r="H134" s="35">
        <f t="shared" si="30"/>
        <v>42</v>
      </c>
      <c r="I134" s="36">
        <f t="shared" si="30"/>
        <v>900.4</v>
      </c>
      <c r="J134" s="35">
        <f t="shared" si="30"/>
        <v>0</v>
      </c>
      <c r="K134" s="41">
        <f t="shared" si="30"/>
        <v>900.4</v>
      </c>
      <c r="L134" s="38">
        <f t="shared" si="30"/>
        <v>0</v>
      </c>
      <c r="M134" s="118">
        <f t="shared" si="30"/>
        <v>900.4</v>
      </c>
      <c r="N134" s="11"/>
      <c r="O134" s="11"/>
      <c r="P134" s="11"/>
      <c r="T134" s="187">
        <f>T135</f>
        <v>-50.65922</v>
      </c>
      <c r="U134" s="192">
        <f>U135</f>
        <v>849.74078</v>
      </c>
      <c r="AC134" s="203"/>
      <c r="AD134" s="188">
        <f t="shared" si="21"/>
        <v>849.74078</v>
      </c>
    </row>
    <row r="135" spans="1:30" ht="78.75">
      <c r="A135" s="4"/>
      <c r="B135" s="131" t="s">
        <v>205</v>
      </c>
      <c r="C135" s="43" t="s">
        <v>180</v>
      </c>
      <c r="D135" s="43" t="s">
        <v>14</v>
      </c>
      <c r="E135" s="44" t="s">
        <v>206</v>
      </c>
      <c r="F135" s="43" t="s">
        <v>28</v>
      </c>
      <c r="G135" s="34">
        <v>858.4</v>
      </c>
      <c r="H135" s="35">
        <v>42</v>
      </c>
      <c r="I135" s="36">
        <f>G135+H135</f>
        <v>900.4</v>
      </c>
      <c r="J135" s="35">
        <v>0</v>
      </c>
      <c r="K135" s="41">
        <f>I135+J135</f>
        <v>900.4</v>
      </c>
      <c r="L135" s="38">
        <v>0</v>
      </c>
      <c r="M135" s="118">
        <f>K135+L135</f>
        <v>900.4</v>
      </c>
      <c r="N135" s="11"/>
      <c r="O135" s="11"/>
      <c r="P135" s="11"/>
      <c r="T135" s="187">
        <f>-50.65922</f>
        <v>-50.65922</v>
      </c>
      <c r="U135" s="192">
        <f>M135+T135</f>
        <v>849.74078</v>
      </c>
      <c r="W135" t="s">
        <v>370</v>
      </c>
      <c r="AC135" s="203"/>
      <c r="AD135" s="188">
        <f t="shared" si="21"/>
        <v>849.74078</v>
      </c>
    </row>
    <row r="136" spans="1:30" ht="18" customHeight="1">
      <c r="A136" s="4"/>
      <c r="B136" s="147" t="s">
        <v>207</v>
      </c>
      <c r="C136" s="87" t="s">
        <v>180</v>
      </c>
      <c r="D136" s="87" t="s">
        <v>16</v>
      </c>
      <c r="E136" s="88"/>
      <c r="F136" s="50"/>
      <c r="G136" s="23">
        <f>G153+G158</f>
        <v>400</v>
      </c>
      <c r="H136" s="105">
        <f>H153+H158+H141+H144</f>
        <v>5681.010010000001</v>
      </c>
      <c r="I136" s="106">
        <f>I153+I158+I141+I144</f>
        <v>6081.010010000001</v>
      </c>
      <c r="J136" s="105">
        <f>J153+J158+J141+J144</f>
        <v>0</v>
      </c>
      <c r="K136" s="107">
        <f>K153+K158+K141+K144</f>
        <v>6081.010010000001</v>
      </c>
      <c r="L136" s="107">
        <f>L137+L144+L153+L158</f>
        <v>4309.21764</v>
      </c>
      <c r="M136" s="111">
        <f>M137+M144+M153+M158</f>
        <v>10390.22765</v>
      </c>
      <c r="N136" s="111">
        <f aca="true" t="shared" si="31" ref="N136:S136">N137+N144+N153+N158</f>
        <v>0</v>
      </c>
      <c r="O136" s="111">
        <f t="shared" si="31"/>
        <v>0</v>
      </c>
      <c r="P136" s="111">
        <f t="shared" si="31"/>
        <v>0</v>
      </c>
      <c r="Q136" s="111">
        <f t="shared" si="31"/>
        <v>0</v>
      </c>
      <c r="R136" s="111">
        <f t="shared" si="31"/>
        <v>0</v>
      </c>
      <c r="S136" s="111">
        <f t="shared" si="31"/>
        <v>0</v>
      </c>
      <c r="T136" s="188">
        <f>T137+T144+T153+T158+T161</f>
        <v>-3.5921299999999974</v>
      </c>
      <c r="U136" s="188">
        <f>M136+T136</f>
        <v>10386.63552</v>
      </c>
      <c r="AC136" s="205">
        <f>AC161</f>
        <v>20726.8</v>
      </c>
      <c r="AD136" s="188">
        <f t="shared" si="21"/>
        <v>31113.43552</v>
      </c>
    </row>
    <row r="137" spans="1:30" ht="105.75" customHeight="1">
      <c r="A137" s="4"/>
      <c r="B137" s="112" t="s">
        <v>72</v>
      </c>
      <c r="C137" s="43" t="s">
        <v>180</v>
      </c>
      <c r="D137" s="43" t="s">
        <v>16</v>
      </c>
      <c r="E137" s="44" t="s">
        <v>25</v>
      </c>
      <c r="F137" s="43"/>
      <c r="G137" s="23">
        <v>0</v>
      </c>
      <c r="H137" s="105">
        <f>H141</f>
        <v>4088.3</v>
      </c>
      <c r="I137" s="106">
        <f>G137+H137</f>
        <v>4088.3</v>
      </c>
      <c r="J137" s="105">
        <f>J141</f>
        <v>0</v>
      </c>
      <c r="K137" s="27">
        <f>I137+J137</f>
        <v>4088.3</v>
      </c>
      <c r="L137" s="107">
        <f>L141+L138</f>
        <v>4347.05088</v>
      </c>
      <c r="M137" s="111">
        <f>K137+L137</f>
        <v>8435.35088</v>
      </c>
      <c r="N137" s="11"/>
      <c r="O137" s="11"/>
      <c r="P137" s="11"/>
      <c r="T137" s="199">
        <f>T138+T141</f>
        <v>-111.724</v>
      </c>
      <c r="U137" s="188">
        <f>M137+T137</f>
        <v>8323.62688</v>
      </c>
      <c r="AC137" s="203"/>
      <c r="AD137" s="188">
        <f t="shared" si="21"/>
        <v>8323.62688</v>
      </c>
    </row>
    <row r="138" spans="1:30" ht="36.75" customHeight="1">
      <c r="A138" s="4"/>
      <c r="B138" s="112" t="s">
        <v>73</v>
      </c>
      <c r="C138" s="43" t="s">
        <v>180</v>
      </c>
      <c r="D138" s="43" t="s">
        <v>16</v>
      </c>
      <c r="E138" s="44" t="s">
        <v>74</v>
      </c>
      <c r="F138" s="43"/>
      <c r="G138" s="23"/>
      <c r="H138" s="105"/>
      <c r="I138" s="106"/>
      <c r="J138" s="105"/>
      <c r="K138" s="27"/>
      <c r="L138" s="27">
        <f>L139</f>
        <v>3500</v>
      </c>
      <c r="M138" s="113">
        <f>L138</f>
        <v>3500</v>
      </c>
      <c r="N138" s="11" t="s">
        <v>208</v>
      </c>
      <c r="O138" s="11"/>
      <c r="P138" s="11"/>
      <c r="T138" s="185">
        <f>T139</f>
        <v>0</v>
      </c>
      <c r="U138" s="189">
        <f>M138</f>
        <v>3500</v>
      </c>
      <c r="AC138" s="203"/>
      <c r="AD138" s="188">
        <f t="shared" si="21"/>
        <v>3500</v>
      </c>
    </row>
    <row r="139" spans="1:30" ht="77.25" customHeight="1">
      <c r="A139" s="4"/>
      <c r="B139" s="112" t="s">
        <v>75</v>
      </c>
      <c r="C139" s="43" t="s">
        <v>180</v>
      </c>
      <c r="D139" s="43" t="s">
        <v>16</v>
      </c>
      <c r="E139" s="44" t="s">
        <v>76</v>
      </c>
      <c r="F139" s="43" t="s">
        <v>28</v>
      </c>
      <c r="G139" s="23"/>
      <c r="H139" s="105"/>
      <c r="I139" s="106"/>
      <c r="J139" s="105"/>
      <c r="K139" s="27"/>
      <c r="L139" s="27">
        <v>3500</v>
      </c>
      <c r="M139" s="113">
        <f>K139+L139</f>
        <v>3500</v>
      </c>
      <c r="N139" s="11"/>
      <c r="O139" s="11"/>
      <c r="P139" s="11"/>
      <c r="T139" s="185"/>
      <c r="U139" s="189">
        <f>M139</f>
        <v>3500</v>
      </c>
      <c r="AC139" s="203"/>
      <c r="AD139" s="188">
        <f t="shared" si="21"/>
        <v>3500</v>
      </c>
    </row>
    <row r="140" spans="1:30" ht="47.25">
      <c r="A140" s="4"/>
      <c r="B140" s="148" t="s">
        <v>209</v>
      </c>
      <c r="C140" s="73" t="s">
        <v>180</v>
      </c>
      <c r="D140" s="73" t="s">
        <v>16</v>
      </c>
      <c r="E140" s="89" t="s">
        <v>76</v>
      </c>
      <c r="F140" s="73" t="s">
        <v>28</v>
      </c>
      <c r="G140" s="90"/>
      <c r="H140" s="91"/>
      <c r="I140" s="92"/>
      <c r="J140" s="91"/>
      <c r="K140" s="93"/>
      <c r="L140" s="93">
        <f>3500</f>
        <v>3500</v>
      </c>
      <c r="M140" s="149">
        <f>L140</f>
        <v>3500</v>
      </c>
      <c r="N140" s="11"/>
      <c r="O140" s="11"/>
      <c r="P140" s="11"/>
      <c r="T140" s="185"/>
      <c r="U140" s="194">
        <v>3500</v>
      </c>
      <c r="AC140" s="203"/>
      <c r="AD140" s="188">
        <f t="shared" si="21"/>
        <v>3500</v>
      </c>
    </row>
    <row r="141" spans="1:30" ht="39.75" customHeight="1">
      <c r="A141" s="4"/>
      <c r="B141" s="130" t="s">
        <v>210</v>
      </c>
      <c r="C141" s="43" t="s">
        <v>180</v>
      </c>
      <c r="D141" s="43" t="s">
        <v>16</v>
      </c>
      <c r="E141" s="62" t="s">
        <v>211</v>
      </c>
      <c r="F141" s="50"/>
      <c r="G141" s="23">
        <v>0</v>
      </c>
      <c r="H141" s="105">
        <f>H142</f>
        <v>4088.3</v>
      </c>
      <c r="I141" s="106">
        <f>G141+H141</f>
        <v>4088.3</v>
      </c>
      <c r="J141" s="105">
        <f>J142</f>
        <v>0</v>
      </c>
      <c r="K141" s="27">
        <f>I141+J141</f>
        <v>4088.3</v>
      </c>
      <c r="L141" s="107">
        <f>L142+L143</f>
        <v>847.0508799999998</v>
      </c>
      <c r="M141" s="111">
        <f>K141+L141</f>
        <v>4935.35088</v>
      </c>
      <c r="N141" s="11"/>
      <c r="O141" s="11"/>
      <c r="P141" s="11"/>
      <c r="T141" s="199">
        <f>T142+T143</f>
        <v>-111.724</v>
      </c>
      <c r="U141" s="190">
        <f>S141+T141</f>
        <v>-111.724</v>
      </c>
      <c r="W141" t="s">
        <v>385</v>
      </c>
      <c r="AC141" s="203"/>
      <c r="AD141" s="188">
        <f t="shared" si="21"/>
        <v>-111.724</v>
      </c>
    </row>
    <row r="142" spans="1:30" ht="88.5" customHeight="1" hidden="1">
      <c r="A142" s="4"/>
      <c r="B142" s="130" t="s">
        <v>212</v>
      </c>
      <c r="C142" s="43" t="s">
        <v>180</v>
      </c>
      <c r="D142" s="43" t="s">
        <v>16</v>
      </c>
      <c r="E142" s="62" t="s">
        <v>213</v>
      </c>
      <c r="F142" s="43" t="s">
        <v>28</v>
      </c>
      <c r="G142" s="23">
        <v>0</v>
      </c>
      <c r="H142" s="105">
        <f>2800+600+35+653.3</f>
        <v>4088.3</v>
      </c>
      <c r="I142" s="106">
        <f>G142+H142</f>
        <v>4088.3</v>
      </c>
      <c r="J142" s="105">
        <v>0</v>
      </c>
      <c r="K142" s="27">
        <f>I142+J142</f>
        <v>4088.3</v>
      </c>
      <c r="L142" s="107">
        <f>-222.94912-3865.35088</f>
        <v>-4088.3</v>
      </c>
      <c r="M142" s="111">
        <f>K142+L142</f>
        <v>0</v>
      </c>
      <c r="N142" s="11"/>
      <c r="O142" s="11"/>
      <c r="P142" s="11"/>
      <c r="T142" s="185"/>
      <c r="U142" s="188">
        <f>S142+T142</f>
        <v>0</v>
      </c>
      <c r="AC142" s="203"/>
      <c r="AD142" s="188">
        <f t="shared" si="21"/>
        <v>0</v>
      </c>
    </row>
    <row r="143" spans="1:30" ht="67.5" customHeight="1">
      <c r="A143" s="4"/>
      <c r="B143" s="130" t="s">
        <v>353</v>
      </c>
      <c r="C143" s="43" t="s">
        <v>180</v>
      </c>
      <c r="D143" s="43" t="s">
        <v>16</v>
      </c>
      <c r="E143" s="62" t="s">
        <v>213</v>
      </c>
      <c r="F143" s="43" t="s">
        <v>28</v>
      </c>
      <c r="G143" s="23"/>
      <c r="H143" s="105"/>
      <c r="I143" s="106"/>
      <c r="J143" s="105"/>
      <c r="K143" s="27"/>
      <c r="L143" s="107">
        <f>3865.35088+1070</f>
        <v>4935.35088</v>
      </c>
      <c r="M143" s="111">
        <f>K143+L143</f>
        <v>4935.35088</v>
      </c>
      <c r="N143" s="11"/>
      <c r="O143" s="11"/>
      <c r="P143" s="11"/>
      <c r="T143" s="199">
        <v>-111.724</v>
      </c>
      <c r="U143" s="188">
        <f>M143+T143</f>
        <v>4823.62688</v>
      </c>
      <c r="AC143" s="203"/>
      <c r="AD143" s="188">
        <f aca="true" t="shared" si="32" ref="AD143:AD206">U143+AC143</f>
        <v>4823.62688</v>
      </c>
    </row>
    <row r="144" spans="1:30" ht="100.5" customHeight="1">
      <c r="A144" s="4"/>
      <c r="B144" s="150" t="s">
        <v>214</v>
      </c>
      <c r="C144" s="50" t="s">
        <v>180</v>
      </c>
      <c r="D144" s="50" t="s">
        <v>16</v>
      </c>
      <c r="E144" s="80" t="s">
        <v>215</v>
      </c>
      <c r="F144" s="50"/>
      <c r="G144" s="23">
        <v>0</v>
      </c>
      <c r="H144" s="105">
        <f aca="true" t="shared" si="33" ref="H144:M144">H145+H148</f>
        <v>1466.11001</v>
      </c>
      <c r="I144" s="106">
        <f t="shared" si="33"/>
        <v>1466.11001</v>
      </c>
      <c r="J144" s="105">
        <f t="shared" si="33"/>
        <v>0</v>
      </c>
      <c r="K144" s="107">
        <f t="shared" si="33"/>
        <v>1466.11001</v>
      </c>
      <c r="L144" s="107">
        <f t="shared" si="33"/>
        <v>-58.24565000000001</v>
      </c>
      <c r="M144" s="111">
        <f t="shared" si="33"/>
        <v>1407.86436</v>
      </c>
      <c r="N144" s="11"/>
      <c r="O144" s="11"/>
      <c r="P144" s="11"/>
      <c r="T144" s="187">
        <f>T145+T148</f>
        <v>-102.06813</v>
      </c>
      <c r="U144" s="188">
        <f>M144+T144</f>
        <v>1305.79623</v>
      </c>
      <c r="AC144" s="203"/>
      <c r="AD144" s="188">
        <f t="shared" si="32"/>
        <v>1305.79623</v>
      </c>
    </row>
    <row r="145" spans="1:30" ht="54" customHeight="1">
      <c r="A145" s="4"/>
      <c r="B145" s="130" t="s">
        <v>216</v>
      </c>
      <c r="C145" s="63" t="s">
        <v>180</v>
      </c>
      <c r="D145" s="63" t="s">
        <v>16</v>
      </c>
      <c r="E145" s="62" t="s">
        <v>217</v>
      </c>
      <c r="F145" s="63"/>
      <c r="G145" s="23">
        <v>0</v>
      </c>
      <c r="H145" s="105">
        <f>H146</f>
        <v>372</v>
      </c>
      <c r="I145" s="106">
        <f>G145+H145</f>
        <v>372</v>
      </c>
      <c r="J145" s="105">
        <f>J146</f>
        <v>-0.07962</v>
      </c>
      <c r="K145" s="107">
        <f>I145+J145</f>
        <v>371.92038</v>
      </c>
      <c r="L145" s="107">
        <f>L146</f>
        <v>0</v>
      </c>
      <c r="M145" s="111">
        <f>K145+L145</f>
        <v>371.92038</v>
      </c>
      <c r="N145" s="11"/>
      <c r="O145" s="11"/>
      <c r="P145" s="11"/>
      <c r="T145" s="185"/>
      <c r="U145" s="188">
        <f>M145</f>
        <v>371.92038</v>
      </c>
      <c r="AC145" s="203"/>
      <c r="AD145" s="188">
        <f t="shared" si="32"/>
        <v>371.92038</v>
      </c>
    </row>
    <row r="146" spans="1:30" ht="117" customHeight="1">
      <c r="A146" s="4"/>
      <c r="B146" s="131" t="s">
        <v>218</v>
      </c>
      <c r="C146" s="63" t="s">
        <v>180</v>
      </c>
      <c r="D146" s="63" t="s">
        <v>16</v>
      </c>
      <c r="E146" s="44" t="s">
        <v>219</v>
      </c>
      <c r="F146" s="63" t="s">
        <v>188</v>
      </c>
      <c r="G146" s="23">
        <v>0</v>
      </c>
      <c r="H146" s="105">
        <f>H147</f>
        <v>372</v>
      </c>
      <c r="I146" s="106">
        <f>G146+H146</f>
        <v>372</v>
      </c>
      <c r="J146" s="105">
        <f>J147-0.07962</f>
        <v>-0.07962</v>
      </c>
      <c r="K146" s="107">
        <f>I146+J146</f>
        <v>371.92038</v>
      </c>
      <c r="L146" s="107">
        <v>0</v>
      </c>
      <c r="M146" s="111">
        <f>K146+L146</f>
        <v>371.92038</v>
      </c>
      <c r="N146" s="11"/>
      <c r="O146" s="11"/>
      <c r="P146" s="11"/>
      <c r="T146" s="185"/>
      <c r="U146" s="188">
        <f>M146</f>
        <v>371.92038</v>
      </c>
      <c r="AC146" s="203"/>
      <c r="AD146" s="188">
        <f t="shared" si="32"/>
        <v>371.92038</v>
      </c>
    </row>
    <row r="147" spans="1:30" ht="31.5">
      <c r="A147" s="4"/>
      <c r="B147" s="137" t="s">
        <v>118</v>
      </c>
      <c r="C147" s="63" t="s">
        <v>180</v>
      </c>
      <c r="D147" s="63" t="s">
        <v>16</v>
      </c>
      <c r="E147" s="44" t="s">
        <v>219</v>
      </c>
      <c r="F147" s="63" t="s">
        <v>188</v>
      </c>
      <c r="G147" s="23">
        <v>0</v>
      </c>
      <c r="H147" s="105">
        <v>372</v>
      </c>
      <c r="I147" s="106">
        <f>G147+H147</f>
        <v>372</v>
      </c>
      <c r="J147" s="105">
        <v>0</v>
      </c>
      <c r="K147" s="107">
        <v>371.92038</v>
      </c>
      <c r="L147" s="107">
        <v>0</v>
      </c>
      <c r="M147" s="111">
        <v>371.92038</v>
      </c>
      <c r="N147" s="11"/>
      <c r="O147" s="11"/>
      <c r="P147" s="11"/>
      <c r="T147" s="185"/>
      <c r="U147" s="188">
        <v>371.92038</v>
      </c>
      <c r="AC147" s="203"/>
      <c r="AD147" s="188">
        <f t="shared" si="32"/>
        <v>371.92038</v>
      </c>
    </row>
    <row r="148" spans="1:30" ht="52.5" customHeight="1">
      <c r="A148" s="4"/>
      <c r="B148" s="130" t="s">
        <v>220</v>
      </c>
      <c r="C148" s="63" t="s">
        <v>180</v>
      </c>
      <c r="D148" s="63" t="s">
        <v>16</v>
      </c>
      <c r="E148" s="62" t="s">
        <v>221</v>
      </c>
      <c r="F148" s="63"/>
      <c r="G148" s="23">
        <v>0</v>
      </c>
      <c r="H148" s="105">
        <f>H150+H152</f>
        <v>1094.11001</v>
      </c>
      <c r="I148" s="106">
        <f>G148+H148</f>
        <v>1094.11001</v>
      </c>
      <c r="J148" s="105">
        <f>J149+J150+J152</f>
        <v>0.07962</v>
      </c>
      <c r="K148" s="107">
        <f>K149+K150+K152</f>
        <v>1094.18963</v>
      </c>
      <c r="L148" s="107">
        <f>L149+L150+L152</f>
        <v>-58.24565000000001</v>
      </c>
      <c r="M148" s="111">
        <f>M149+M150+M152</f>
        <v>1035.94398</v>
      </c>
      <c r="N148" s="111">
        <f aca="true" t="shared" si="34" ref="N148:T148">N149+N150+N152</f>
        <v>0</v>
      </c>
      <c r="O148" s="111">
        <f t="shared" si="34"/>
        <v>0</v>
      </c>
      <c r="P148" s="111">
        <f t="shared" si="34"/>
        <v>0</v>
      </c>
      <c r="Q148" s="111">
        <f t="shared" si="34"/>
        <v>0</v>
      </c>
      <c r="R148" s="111">
        <f t="shared" si="34"/>
        <v>0</v>
      </c>
      <c r="S148" s="111">
        <f t="shared" si="34"/>
        <v>0</v>
      </c>
      <c r="T148" s="188">
        <f t="shared" si="34"/>
        <v>-102.06813</v>
      </c>
      <c r="U148" s="188">
        <f>M148+T148</f>
        <v>933.87585</v>
      </c>
      <c r="AC148" s="203"/>
      <c r="AD148" s="188">
        <f t="shared" si="32"/>
        <v>933.87585</v>
      </c>
    </row>
    <row r="149" spans="1:30" ht="94.5">
      <c r="A149" s="4"/>
      <c r="B149" s="130" t="s">
        <v>222</v>
      </c>
      <c r="C149" s="63" t="s">
        <v>180</v>
      </c>
      <c r="D149" s="63" t="s">
        <v>16</v>
      </c>
      <c r="E149" s="62" t="s">
        <v>223</v>
      </c>
      <c r="F149" s="63" t="s">
        <v>28</v>
      </c>
      <c r="G149" s="34">
        <v>0</v>
      </c>
      <c r="H149" s="35">
        <v>0</v>
      </c>
      <c r="I149" s="36">
        <v>0</v>
      </c>
      <c r="J149" s="35">
        <v>0</v>
      </c>
      <c r="K149" s="41">
        <f>I149+J149</f>
        <v>0</v>
      </c>
      <c r="L149" s="41">
        <f>186.4+159.4</f>
        <v>345.8</v>
      </c>
      <c r="M149" s="118">
        <f>K149+L149</f>
        <v>345.8</v>
      </c>
      <c r="N149" s="11"/>
      <c r="O149" s="11"/>
      <c r="P149" s="11"/>
      <c r="T149" s="185"/>
      <c r="U149" s="186">
        <f>M149</f>
        <v>345.8</v>
      </c>
      <c r="AC149" s="203"/>
      <c r="AD149" s="188">
        <f t="shared" si="32"/>
        <v>345.8</v>
      </c>
    </row>
    <row r="150" spans="1:30" ht="126">
      <c r="A150" s="4"/>
      <c r="B150" s="131" t="s">
        <v>224</v>
      </c>
      <c r="C150" s="63" t="s">
        <v>180</v>
      </c>
      <c r="D150" s="63" t="s">
        <v>16</v>
      </c>
      <c r="E150" s="62" t="s">
        <v>225</v>
      </c>
      <c r="F150" s="63" t="s">
        <v>188</v>
      </c>
      <c r="G150" s="34">
        <v>0</v>
      </c>
      <c r="H150" s="35">
        <v>365.6</v>
      </c>
      <c r="I150" s="36">
        <f>G150+H150</f>
        <v>365.6</v>
      </c>
      <c r="J150" s="35">
        <v>0</v>
      </c>
      <c r="K150" s="41">
        <f>I150+J150</f>
        <v>365.6</v>
      </c>
      <c r="L150" s="38">
        <v>0</v>
      </c>
      <c r="M150" s="118">
        <f>K150+L150</f>
        <v>365.6</v>
      </c>
      <c r="N150" s="11"/>
      <c r="O150" s="11"/>
      <c r="P150" s="11"/>
      <c r="T150" s="185"/>
      <c r="U150" s="186">
        <f>M150</f>
        <v>365.6</v>
      </c>
      <c r="AC150" s="203"/>
      <c r="AD150" s="188">
        <f t="shared" si="32"/>
        <v>365.6</v>
      </c>
    </row>
    <row r="151" spans="1:30" ht="141.75" hidden="1">
      <c r="A151" s="4"/>
      <c r="B151" s="131" t="s">
        <v>226</v>
      </c>
      <c r="C151" s="63" t="s">
        <v>180</v>
      </c>
      <c r="D151" s="63" t="s">
        <v>16</v>
      </c>
      <c r="E151" s="62" t="s">
        <v>227</v>
      </c>
      <c r="F151" s="63" t="s">
        <v>188</v>
      </c>
      <c r="G151" s="23"/>
      <c r="H151" s="105"/>
      <c r="I151" s="106"/>
      <c r="J151" s="105"/>
      <c r="K151" s="94"/>
      <c r="L151" s="107"/>
      <c r="M151" s="151"/>
      <c r="N151" s="11"/>
      <c r="O151" s="11"/>
      <c r="P151" s="11"/>
      <c r="T151" s="185"/>
      <c r="U151" s="195"/>
      <c r="AC151" s="203"/>
      <c r="AD151" s="188">
        <f t="shared" si="32"/>
        <v>0</v>
      </c>
    </row>
    <row r="152" spans="1:30" ht="115.5" customHeight="1">
      <c r="A152" s="4"/>
      <c r="B152" s="131" t="s">
        <v>228</v>
      </c>
      <c r="C152" s="63" t="s">
        <v>180</v>
      </c>
      <c r="D152" s="63" t="s">
        <v>16</v>
      </c>
      <c r="E152" s="62" t="s">
        <v>225</v>
      </c>
      <c r="F152" s="43" t="s">
        <v>28</v>
      </c>
      <c r="G152" s="34">
        <v>0</v>
      </c>
      <c r="H152" s="35">
        <f>724.51628+749.42356-749.42356+125.665-125.665+3.99373</f>
        <v>728.5100100000001</v>
      </c>
      <c r="I152" s="36">
        <f>G152+H152</f>
        <v>728.5100100000001</v>
      </c>
      <c r="J152" s="35">
        <f>0+0.07962</f>
        <v>0.07962</v>
      </c>
      <c r="K152" s="38">
        <f>I152+J152</f>
        <v>728.58963</v>
      </c>
      <c r="L152" s="38">
        <f>-409.56324+5.51759</f>
        <v>-404.04565</v>
      </c>
      <c r="M152" s="136">
        <f>K152+L152</f>
        <v>324.54398000000003</v>
      </c>
      <c r="N152" s="11"/>
      <c r="O152" s="11"/>
      <c r="P152" s="11"/>
      <c r="T152" s="187">
        <f>-53.476-3.59213-45</f>
        <v>-102.06813</v>
      </c>
      <c r="U152" s="192">
        <f>M152+T152</f>
        <v>222.47585000000004</v>
      </c>
      <c r="W152" t="s">
        <v>386</v>
      </c>
      <c r="AC152" s="203"/>
      <c r="AD152" s="188">
        <f t="shared" si="32"/>
        <v>222.47585000000004</v>
      </c>
    </row>
    <row r="153" spans="1:30" ht="94.5">
      <c r="A153" s="4"/>
      <c r="B153" s="112" t="s">
        <v>229</v>
      </c>
      <c r="C153" s="50" t="s">
        <v>180</v>
      </c>
      <c r="D153" s="50" t="s">
        <v>16</v>
      </c>
      <c r="E153" s="80" t="s">
        <v>230</v>
      </c>
      <c r="F153" s="50"/>
      <c r="G153" s="23">
        <f aca="true" t="shared" si="35" ref="G153:M153">G154</f>
        <v>100</v>
      </c>
      <c r="H153" s="105">
        <f t="shared" si="35"/>
        <v>126.6</v>
      </c>
      <c r="I153" s="106">
        <f t="shared" si="35"/>
        <v>226.6</v>
      </c>
      <c r="J153" s="105">
        <f t="shared" si="35"/>
        <v>0</v>
      </c>
      <c r="K153" s="27">
        <f t="shared" si="35"/>
        <v>226.6</v>
      </c>
      <c r="L153" s="175">
        <f t="shared" si="35"/>
        <v>230.38241</v>
      </c>
      <c r="M153" s="111">
        <f t="shared" si="35"/>
        <v>456.98240999999996</v>
      </c>
      <c r="N153" s="11"/>
      <c r="O153" s="11"/>
      <c r="P153" s="11"/>
      <c r="T153" s="185"/>
      <c r="U153" s="188">
        <f>U154</f>
        <v>456.98240999999996</v>
      </c>
      <c r="AC153" s="203"/>
      <c r="AD153" s="188">
        <f t="shared" si="32"/>
        <v>456.98240999999996</v>
      </c>
    </row>
    <row r="154" spans="1:30" ht="34.5" customHeight="1">
      <c r="A154" s="4"/>
      <c r="B154" s="131" t="s">
        <v>231</v>
      </c>
      <c r="C154" s="63" t="s">
        <v>180</v>
      </c>
      <c r="D154" s="63" t="s">
        <v>16</v>
      </c>
      <c r="E154" s="62" t="s">
        <v>232</v>
      </c>
      <c r="F154" s="63"/>
      <c r="G154" s="34">
        <f aca="true" t="shared" si="36" ref="G154:M154">G155+G156+G157</f>
        <v>100</v>
      </c>
      <c r="H154" s="35">
        <f t="shared" si="36"/>
        <v>126.6</v>
      </c>
      <c r="I154" s="36">
        <f t="shared" si="36"/>
        <v>226.6</v>
      </c>
      <c r="J154" s="35">
        <f t="shared" si="36"/>
        <v>0</v>
      </c>
      <c r="K154" s="41">
        <f t="shared" si="36"/>
        <v>226.6</v>
      </c>
      <c r="L154" s="38">
        <f t="shared" si="36"/>
        <v>230.38241</v>
      </c>
      <c r="M154" s="136">
        <f t="shared" si="36"/>
        <v>456.98240999999996</v>
      </c>
      <c r="N154" s="11"/>
      <c r="O154" s="11"/>
      <c r="P154" s="11"/>
      <c r="T154" s="185"/>
      <c r="U154" s="192">
        <f>U155+U156+U157</f>
        <v>456.98240999999996</v>
      </c>
      <c r="AC154" s="203"/>
      <c r="AD154" s="188">
        <f t="shared" si="32"/>
        <v>456.98240999999996</v>
      </c>
    </row>
    <row r="155" spans="1:30" ht="117" customHeight="1">
      <c r="A155" s="4"/>
      <c r="B155" s="131" t="s">
        <v>233</v>
      </c>
      <c r="C155" s="63" t="s">
        <v>180</v>
      </c>
      <c r="D155" s="63" t="s">
        <v>16</v>
      </c>
      <c r="E155" s="62" t="s">
        <v>234</v>
      </c>
      <c r="F155" s="63" t="s">
        <v>28</v>
      </c>
      <c r="G155" s="34">
        <v>100</v>
      </c>
      <c r="H155" s="35">
        <v>0</v>
      </c>
      <c r="I155" s="36">
        <v>100</v>
      </c>
      <c r="J155" s="35">
        <v>0</v>
      </c>
      <c r="K155" s="41">
        <f>100</f>
        <v>100</v>
      </c>
      <c r="L155" s="38">
        <f>235.9-5.51759</f>
        <v>230.38241</v>
      </c>
      <c r="M155" s="136">
        <f>100+235.9-5.51759</f>
        <v>330.38241</v>
      </c>
      <c r="N155" s="11"/>
      <c r="O155" s="11"/>
      <c r="P155" s="11"/>
      <c r="T155" s="185"/>
      <c r="U155" s="192">
        <f>100+235.9-5.51759</f>
        <v>330.38241</v>
      </c>
      <c r="AC155" s="203"/>
      <c r="AD155" s="188">
        <f t="shared" si="32"/>
        <v>330.38241</v>
      </c>
    </row>
    <row r="156" spans="1:30" ht="84.75" customHeight="1">
      <c r="A156" s="4"/>
      <c r="B156" s="115" t="s">
        <v>235</v>
      </c>
      <c r="C156" s="63" t="s">
        <v>180</v>
      </c>
      <c r="D156" s="63" t="s">
        <v>16</v>
      </c>
      <c r="E156" s="62" t="s">
        <v>236</v>
      </c>
      <c r="F156" s="63" t="s">
        <v>28</v>
      </c>
      <c r="G156" s="34">
        <v>0</v>
      </c>
      <c r="H156" s="35">
        <v>126.6</v>
      </c>
      <c r="I156" s="36">
        <f>G156+H156</f>
        <v>126.6</v>
      </c>
      <c r="J156" s="35">
        <v>0</v>
      </c>
      <c r="K156" s="41">
        <f>I156+J156</f>
        <v>126.6</v>
      </c>
      <c r="L156" s="38">
        <v>0</v>
      </c>
      <c r="M156" s="118">
        <f>K156+L156</f>
        <v>126.6</v>
      </c>
      <c r="N156" s="11"/>
      <c r="O156" s="11"/>
      <c r="P156" s="11"/>
      <c r="T156" s="185"/>
      <c r="U156" s="186">
        <f>M156</f>
        <v>126.6</v>
      </c>
      <c r="AC156" s="203"/>
      <c r="AD156" s="188">
        <f t="shared" si="32"/>
        <v>126.6</v>
      </c>
    </row>
    <row r="157" spans="1:30" ht="27" customHeight="1" hidden="1">
      <c r="A157" s="4"/>
      <c r="B157" s="131"/>
      <c r="C157" s="63" t="s">
        <v>180</v>
      </c>
      <c r="D157" s="63" t="s">
        <v>16</v>
      </c>
      <c r="E157" s="62"/>
      <c r="F157" s="63" t="s">
        <v>28</v>
      </c>
      <c r="G157" s="34">
        <v>0</v>
      </c>
      <c r="H157" s="35">
        <v>0</v>
      </c>
      <c r="I157" s="36">
        <f>G157+H157</f>
        <v>0</v>
      </c>
      <c r="J157" s="35">
        <v>0</v>
      </c>
      <c r="K157" s="46">
        <f>I157+J157</f>
        <v>0</v>
      </c>
      <c r="L157" s="38">
        <v>0</v>
      </c>
      <c r="M157" s="152">
        <f>K157+L157</f>
        <v>0</v>
      </c>
      <c r="N157" s="11"/>
      <c r="O157" s="11"/>
      <c r="P157" s="11"/>
      <c r="T157" s="185"/>
      <c r="U157" s="196">
        <f>S157+T157</f>
        <v>0</v>
      </c>
      <c r="AC157" s="203"/>
      <c r="AD157" s="188">
        <f t="shared" si="32"/>
        <v>0</v>
      </c>
    </row>
    <row r="158" spans="1:30" ht="163.5" customHeight="1">
      <c r="A158" s="4"/>
      <c r="B158" s="112" t="s">
        <v>142</v>
      </c>
      <c r="C158" s="50" t="s">
        <v>180</v>
      </c>
      <c r="D158" s="50" t="s">
        <v>16</v>
      </c>
      <c r="E158" s="51" t="s">
        <v>143</v>
      </c>
      <c r="F158" s="63"/>
      <c r="G158" s="23">
        <f>G159</f>
        <v>300</v>
      </c>
      <c r="H158" s="105"/>
      <c r="I158" s="106">
        <f>I159</f>
        <v>300</v>
      </c>
      <c r="J158" s="105"/>
      <c r="K158" s="27">
        <f aca="true" t="shared" si="37" ref="K158:M159">K159</f>
        <v>300</v>
      </c>
      <c r="L158" s="27">
        <f t="shared" si="37"/>
        <v>-209.97</v>
      </c>
      <c r="M158" s="113">
        <f t="shared" si="37"/>
        <v>90.03</v>
      </c>
      <c r="N158" s="11"/>
      <c r="O158" s="11"/>
      <c r="P158" s="11"/>
      <c r="T158" s="185"/>
      <c r="U158" s="189">
        <f>U159</f>
        <v>90.03</v>
      </c>
      <c r="AC158" s="203"/>
      <c r="AD158" s="188">
        <f t="shared" si="32"/>
        <v>90.03</v>
      </c>
    </row>
    <row r="159" spans="1:30" ht="57" customHeight="1">
      <c r="A159" s="4"/>
      <c r="B159" s="115" t="s">
        <v>144</v>
      </c>
      <c r="C159" s="63" t="s">
        <v>180</v>
      </c>
      <c r="D159" s="63" t="s">
        <v>16</v>
      </c>
      <c r="E159" s="62" t="s">
        <v>145</v>
      </c>
      <c r="F159" s="63"/>
      <c r="G159" s="34">
        <f>G160</f>
        <v>300</v>
      </c>
      <c r="H159" s="35"/>
      <c r="I159" s="36">
        <f>I160</f>
        <v>300</v>
      </c>
      <c r="J159" s="35"/>
      <c r="K159" s="41">
        <f t="shared" si="37"/>
        <v>300</v>
      </c>
      <c r="L159" s="41">
        <f t="shared" si="37"/>
        <v>-209.97</v>
      </c>
      <c r="M159" s="118">
        <f t="shared" si="37"/>
        <v>90.03</v>
      </c>
      <c r="N159" s="11"/>
      <c r="O159" s="11"/>
      <c r="P159" s="11"/>
      <c r="T159" s="185"/>
      <c r="U159" s="186">
        <f>U160</f>
        <v>90.03</v>
      </c>
      <c r="AC159" s="203"/>
      <c r="AD159" s="188">
        <f t="shared" si="32"/>
        <v>90.03</v>
      </c>
    </row>
    <row r="160" spans="1:30" ht="174" customHeight="1">
      <c r="A160" s="4"/>
      <c r="B160" s="115" t="s">
        <v>237</v>
      </c>
      <c r="C160" s="63" t="s">
        <v>180</v>
      </c>
      <c r="D160" s="63" t="s">
        <v>16</v>
      </c>
      <c r="E160" s="62" t="s">
        <v>146</v>
      </c>
      <c r="F160" s="63" t="s">
        <v>28</v>
      </c>
      <c r="G160" s="34">
        <v>300</v>
      </c>
      <c r="H160" s="35"/>
      <c r="I160" s="36">
        <v>300</v>
      </c>
      <c r="J160" s="35"/>
      <c r="K160" s="41">
        <v>300</v>
      </c>
      <c r="L160" s="41">
        <v>-209.97</v>
      </c>
      <c r="M160" s="118">
        <f>300-209.97</f>
        <v>90.03</v>
      </c>
      <c r="N160" s="11"/>
      <c r="O160" s="11"/>
      <c r="P160" s="11"/>
      <c r="T160" s="185"/>
      <c r="U160" s="186">
        <f>300-209.97</f>
        <v>90.03</v>
      </c>
      <c r="AC160" s="203"/>
      <c r="AD160" s="188">
        <f t="shared" si="32"/>
        <v>90.03</v>
      </c>
    </row>
    <row r="161" spans="1:30" ht="78.75">
      <c r="A161" s="4"/>
      <c r="B161" s="177" t="s">
        <v>357</v>
      </c>
      <c r="C161" s="178" t="s">
        <v>180</v>
      </c>
      <c r="D161" s="178" t="s">
        <v>16</v>
      </c>
      <c r="E161" s="179" t="s">
        <v>358</v>
      </c>
      <c r="F161" s="178"/>
      <c r="G161" s="34"/>
      <c r="H161" s="35"/>
      <c r="I161" s="36"/>
      <c r="J161" s="35"/>
      <c r="K161" s="41"/>
      <c r="L161" s="41"/>
      <c r="M161" s="118"/>
      <c r="N161" s="11"/>
      <c r="O161" s="11"/>
      <c r="P161" s="11"/>
      <c r="T161" s="202">
        <f>T162</f>
        <v>210.2</v>
      </c>
      <c r="U161" s="189">
        <f>U162</f>
        <v>210.2</v>
      </c>
      <c r="AC161" s="205">
        <f>AC162</f>
        <v>20726.8</v>
      </c>
      <c r="AD161" s="188">
        <f t="shared" si="32"/>
        <v>20937</v>
      </c>
    </row>
    <row r="162" spans="1:30" ht="173.25">
      <c r="A162" s="4"/>
      <c r="B162" s="180" t="s">
        <v>359</v>
      </c>
      <c r="C162" s="181" t="s">
        <v>180</v>
      </c>
      <c r="D162" s="181" t="s">
        <v>16</v>
      </c>
      <c r="E162" s="182" t="s">
        <v>360</v>
      </c>
      <c r="F162" s="181"/>
      <c r="G162" s="34"/>
      <c r="H162" s="35"/>
      <c r="I162" s="36"/>
      <c r="J162" s="35"/>
      <c r="K162" s="41"/>
      <c r="L162" s="41"/>
      <c r="M162" s="118"/>
      <c r="N162" s="11"/>
      <c r="O162" s="11"/>
      <c r="P162" s="11"/>
      <c r="T162" s="185">
        <f>T163</f>
        <v>210.2</v>
      </c>
      <c r="U162" s="186">
        <f>U163</f>
        <v>210.2</v>
      </c>
      <c r="AC162" s="205">
        <f>20726.8</f>
        <v>20726.8</v>
      </c>
      <c r="AD162" s="188">
        <f t="shared" si="32"/>
        <v>20937</v>
      </c>
    </row>
    <row r="163" spans="1:30" ht="252">
      <c r="A163" s="4"/>
      <c r="B163" s="183" t="s">
        <v>361</v>
      </c>
      <c r="C163" s="181" t="s">
        <v>180</v>
      </c>
      <c r="D163" s="181" t="s">
        <v>16</v>
      </c>
      <c r="E163" s="182" t="s">
        <v>363</v>
      </c>
      <c r="F163" s="181" t="s">
        <v>42</v>
      </c>
      <c r="G163" s="34"/>
      <c r="H163" s="35"/>
      <c r="I163" s="36"/>
      <c r="J163" s="35"/>
      <c r="K163" s="41"/>
      <c r="L163" s="41"/>
      <c r="M163" s="118"/>
      <c r="N163" s="11"/>
      <c r="O163" s="11"/>
      <c r="P163" s="11"/>
      <c r="T163" s="185">
        <f>165.2+45</f>
        <v>210.2</v>
      </c>
      <c r="U163" s="186">
        <f>M163+T163</f>
        <v>210.2</v>
      </c>
      <c r="W163" t="s">
        <v>387</v>
      </c>
      <c r="AC163" s="203"/>
      <c r="AD163" s="188">
        <f t="shared" si="32"/>
        <v>210.2</v>
      </c>
    </row>
    <row r="164" spans="1:30" ht="15.75">
      <c r="A164" s="4"/>
      <c r="B164" s="112" t="s">
        <v>238</v>
      </c>
      <c r="C164" s="50" t="s">
        <v>180</v>
      </c>
      <c r="D164" s="50" t="s">
        <v>25</v>
      </c>
      <c r="E164" s="51"/>
      <c r="F164" s="50"/>
      <c r="G164" s="23">
        <f>G165+G168+G182</f>
        <v>11487.2</v>
      </c>
      <c r="H164" s="105">
        <f>H165+H168+H182</f>
        <v>1168</v>
      </c>
      <c r="I164" s="106">
        <f>I165+I168+I182</f>
        <v>12655.2</v>
      </c>
      <c r="J164" s="105">
        <f>J165+J168+J182</f>
        <v>628.05296</v>
      </c>
      <c r="K164" s="107">
        <f>K165+K168+K182</f>
        <v>13283.252960000002</v>
      </c>
      <c r="L164" s="107">
        <f>L165+L168+L182+L191</f>
        <v>1617.04912</v>
      </c>
      <c r="M164" s="111">
        <f>M165+M168+M182+M191</f>
        <v>14900.30208</v>
      </c>
      <c r="N164" s="11"/>
      <c r="O164" s="11"/>
      <c r="P164" s="11"/>
      <c r="T164" s="202">
        <f>T168+T182</f>
        <v>0</v>
      </c>
      <c r="U164" s="188">
        <f>M164+T164</f>
        <v>14900.30208</v>
      </c>
      <c r="AC164" s="203"/>
      <c r="AD164" s="188">
        <f t="shared" si="32"/>
        <v>14900.30208</v>
      </c>
    </row>
    <row r="165" spans="1:30" ht="48.75" customHeight="1" hidden="1">
      <c r="A165" s="4"/>
      <c r="B165" s="112" t="s">
        <v>88</v>
      </c>
      <c r="C165" s="50" t="s">
        <v>180</v>
      </c>
      <c r="D165" s="50" t="s">
        <v>25</v>
      </c>
      <c r="E165" s="51" t="s">
        <v>30</v>
      </c>
      <c r="F165" s="50"/>
      <c r="G165" s="23">
        <f>G166</f>
        <v>200</v>
      </c>
      <c r="H165" s="105"/>
      <c r="I165" s="106">
        <f>I166</f>
        <v>0</v>
      </c>
      <c r="J165" s="105"/>
      <c r="K165" s="27">
        <f>K166</f>
        <v>0</v>
      </c>
      <c r="L165" s="107"/>
      <c r="M165" s="113">
        <f>M166</f>
        <v>0</v>
      </c>
      <c r="N165" s="11"/>
      <c r="O165" s="11"/>
      <c r="P165" s="11"/>
      <c r="T165" s="185"/>
      <c r="U165" s="189">
        <f>U166</f>
        <v>0</v>
      </c>
      <c r="AC165" s="203"/>
      <c r="AD165" s="188">
        <f t="shared" si="32"/>
        <v>0</v>
      </c>
    </row>
    <row r="166" spans="1:30" ht="33" customHeight="1" hidden="1">
      <c r="A166" s="4"/>
      <c r="B166" s="126" t="s">
        <v>239</v>
      </c>
      <c r="C166" s="43" t="s">
        <v>180</v>
      </c>
      <c r="D166" s="43" t="s">
        <v>25</v>
      </c>
      <c r="E166" s="44" t="s">
        <v>90</v>
      </c>
      <c r="F166" s="43"/>
      <c r="G166" s="34">
        <f>G167</f>
        <v>200</v>
      </c>
      <c r="H166" s="35"/>
      <c r="I166" s="36">
        <f>I167</f>
        <v>0</v>
      </c>
      <c r="J166" s="35"/>
      <c r="K166" s="41">
        <f>K167</f>
        <v>0</v>
      </c>
      <c r="L166" s="38"/>
      <c r="M166" s="118">
        <f>M167</f>
        <v>0</v>
      </c>
      <c r="N166" s="11"/>
      <c r="O166" s="11"/>
      <c r="P166" s="11"/>
      <c r="T166" s="185"/>
      <c r="U166" s="186">
        <f>U167</f>
        <v>0</v>
      </c>
      <c r="AC166" s="203"/>
      <c r="AD166" s="188">
        <f t="shared" si="32"/>
        <v>0</v>
      </c>
    </row>
    <row r="167" spans="1:30" ht="78.75" hidden="1">
      <c r="A167" s="4"/>
      <c r="B167" s="131" t="s">
        <v>240</v>
      </c>
      <c r="C167" s="43" t="s">
        <v>180</v>
      </c>
      <c r="D167" s="43" t="s">
        <v>25</v>
      </c>
      <c r="E167" s="44" t="s">
        <v>92</v>
      </c>
      <c r="F167" s="43" t="s">
        <v>28</v>
      </c>
      <c r="G167" s="34">
        <v>200</v>
      </c>
      <c r="H167" s="35"/>
      <c r="I167" s="36">
        <f>200-200</f>
        <v>0</v>
      </c>
      <c r="J167" s="35"/>
      <c r="K167" s="41">
        <f>200-200</f>
        <v>0</v>
      </c>
      <c r="L167" s="38"/>
      <c r="M167" s="118">
        <f>200-200</f>
        <v>0</v>
      </c>
      <c r="N167" s="11"/>
      <c r="O167" s="11"/>
      <c r="P167" s="11"/>
      <c r="T167" s="185"/>
      <c r="U167" s="186">
        <f>200-200</f>
        <v>0</v>
      </c>
      <c r="AC167" s="203"/>
      <c r="AD167" s="188">
        <f t="shared" si="32"/>
        <v>0</v>
      </c>
    </row>
    <row r="168" spans="1:30" ht="99.75" customHeight="1">
      <c r="A168" s="4"/>
      <c r="B168" s="112" t="s">
        <v>229</v>
      </c>
      <c r="C168" s="50" t="s">
        <v>180</v>
      </c>
      <c r="D168" s="50" t="s">
        <v>25</v>
      </c>
      <c r="E168" s="51" t="s">
        <v>230</v>
      </c>
      <c r="F168" s="43"/>
      <c r="G168" s="23">
        <f aca="true" t="shared" si="38" ref="G168:M168">G169+G171+G175+G177+G180</f>
        <v>4950</v>
      </c>
      <c r="H168" s="105">
        <f t="shared" si="38"/>
        <v>668</v>
      </c>
      <c r="I168" s="106">
        <f t="shared" si="38"/>
        <v>5818</v>
      </c>
      <c r="J168" s="105">
        <f t="shared" si="38"/>
        <v>522.05296</v>
      </c>
      <c r="K168" s="107">
        <f t="shared" si="38"/>
        <v>6340.05296</v>
      </c>
      <c r="L168" s="107">
        <f t="shared" si="38"/>
        <v>1167.94912</v>
      </c>
      <c r="M168" s="111">
        <f t="shared" si="38"/>
        <v>7508.002079999999</v>
      </c>
      <c r="N168" s="11"/>
      <c r="O168" s="11"/>
      <c r="P168" s="11"/>
      <c r="T168" s="187">
        <f>T169+T171+T175+T177+T180</f>
        <v>145.50184000000002</v>
      </c>
      <c r="U168" s="188">
        <f>M168</f>
        <v>7508.002079999999</v>
      </c>
      <c r="AC168" s="203"/>
      <c r="AD168" s="188">
        <f t="shared" si="32"/>
        <v>7508.002079999999</v>
      </c>
    </row>
    <row r="169" spans="1:30" ht="39.75" customHeight="1">
      <c r="A169" s="4"/>
      <c r="B169" s="131" t="s">
        <v>241</v>
      </c>
      <c r="C169" s="43" t="s">
        <v>180</v>
      </c>
      <c r="D169" s="43" t="s">
        <v>25</v>
      </c>
      <c r="E169" s="44" t="s">
        <v>242</v>
      </c>
      <c r="F169" s="43"/>
      <c r="G169" s="34">
        <f>G170</f>
        <v>3000</v>
      </c>
      <c r="H169" s="35"/>
      <c r="I169" s="36">
        <f>I170</f>
        <v>3000</v>
      </c>
      <c r="J169" s="35"/>
      <c r="K169" s="41">
        <f>K170</f>
        <v>3000</v>
      </c>
      <c r="L169" s="38">
        <f>L170</f>
        <v>1075</v>
      </c>
      <c r="M169" s="118">
        <f>M170</f>
        <v>4075</v>
      </c>
      <c r="N169" s="11"/>
      <c r="O169" s="11"/>
      <c r="P169" s="11"/>
      <c r="T169" s="185"/>
      <c r="U169" s="186">
        <f>U170</f>
        <v>4075</v>
      </c>
      <c r="AC169" s="203"/>
      <c r="AD169" s="188">
        <f t="shared" si="32"/>
        <v>4075</v>
      </c>
    </row>
    <row r="170" spans="1:30" ht="54" customHeight="1">
      <c r="A170" s="4"/>
      <c r="B170" s="126" t="s">
        <v>243</v>
      </c>
      <c r="C170" s="43" t="s">
        <v>180</v>
      </c>
      <c r="D170" s="43" t="s">
        <v>25</v>
      </c>
      <c r="E170" s="44" t="s">
        <v>244</v>
      </c>
      <c r="F170" s="43" t="s">
        <v>28</v>
      </c>
      <c r="G170" s="34">
        <v>3000</v>
      </c>
      <c r="H170" s="35"/>
      <c r="I170" s="36">
        <v>3000</v>
      </c>
      <c r="J170" s="35"/>
      <c r="K170" s="41">
        <v>3000</v>
      </c>
      <c r="L170" s="38">
        <f>1000+75</f>
        <v>1075</v>
      </c>
      <c r="M170" s="118">
        <f>3000+1000+75</f>
        <v>4075</v>
      </c>
      <c r="N170" s="11" t="s">
        <v>245</v>
      </c>
      <c r="O170" s="11"/>
      <c r="P170" s="11"/>
      <c r="T170" s="185"/>
      <c r="U170" s="186">
        <f>3000+1000+75</f>
        <v>4075</v>
      </c>
      <c r="AC170" s="203"/>
      <c r="AD170" s="188">
        <f t="shared" si="32"/>
        <v>4075</v>
      </c>
    </row>
    <row r="171" spans="1:30" ht="37.5" customHeight="1">
      <c r="A171" s="4"/>
      <c r="B171" s="131" t="s">
        <v>246</v>
      </c>
      <c r="C171" s="43" t="s">
        <v>180</v>
      </c>
      <c r="D171" s="43" t="s">
        <v>25</v>
      </c>
      <c r="E171" s="44" t="s">
        <v>247</v>
      </c>
      <c r="F171" s="43"/>
      <c r="G171" s="34">
        <f aca="true" t="shared" si="39" ref="G171:M171">G172</f>
        <v>50</v>
      </c>
      <c r="H171" s="35">
        <f t="shared" si="39"/>
        <v>668</v>
      </c>
      <c r="I171" s="36">
        <f t="shared" si="39"/>
        <v>718</v>
      </c>
      <c r="J171" s="35">
        <f t="shared" si="39"/>
        <v>0</v>
      </c>
      <c r="K171" s="41">
        <f t="shared" si="39"/>
        <v>718</v>
      </c>
      <c r="L171" s="41">
        <f t="shared" si="39"/>
        <v>-418</v>
      </c>
      <c r="M171" s="118">
        <f t="shared" si="39"/>
        <v>300</v>
      </c>
      <c r="N171" s="11"/>
      <c r="O171" s="11"/>
      <c r="P171" s="11"/>
      <c r="T171" s="185"/>
      <c r="U171" s="186">
        <f>U172</f>
        <v>300</v>
      </c>
      <c r="AC171" s="203"/>
      <c r="AD171" s="188">
        <f t="shared" si="32"/>
        <v>300</v>
      </c>
    </row>
    <row r="172" spans="1:30" ht="65.25" customHeight="1">
      <c r="A172" s="4"/>
      <c r="B172" s="126" t="s">
        <v>248</v>
      </c>
      <c r="C172" s="43" t="s">
        <v>180</v>
      </c>
      <c r="D172" s="43" t="s">
        <v>25</v>
      </c>
      <c r="E172" s="44" t="s">
        <v>249</v>
      </c>
      <c r="F172" s="43" t="s">
        <v>28</v>
      </c>
      <c r="G172" s="34">
        <v>50</v>
      </c>
      <c r="H172" s="35">
        <f>H173+H174+450</f>
        <v>668</v>
      </c>
      <c r="I172" s="36">
        <f>G172+H172</f>
        <v>718</v>
      </c>
      <c r="J172" s="35">
        <v>0</v>
      </c>
      <c r="K172" s="41">
        <f>I172+J172</f>
        <v>718</v>
      </c>
      <c r="L172" s="95">
        <f>-14.1-105.9-188-110</f>
        <v>-418</v>
      </c>
      <c r="M172" s="118">
        <f>K172+L172</f>
        <v>300</v>
      </c>
      <c r="N172" s="11"/>
      <c r="O172" s="11" t="s">
        <v>128</v>
      </c>
      <c r="P172" s="11"/>
      <c r="T172" s="185"/>
      <c r="U172" s="186">
        <f>M172</f>
        <v>300</v>
      </c>
      <c r="AC172" s="203"/>
      <c r="AD172" s="188">
        <f t="shared" si="32"/>
        <v>300</v>
      </c>
    </row>
    <row r="173" spans="1:30" ht="47.25">
      <c r="A173" s="4"/>
      <c r="B173" s="140" t="s">
        <v>250</v>
      </c>
      <c r="C173" s="73" t="s">
        <v>180</v>
      </c>
      <c r="D173" s="73" t="s">
        <v>25</v>
      </c>
      <c r="E173" s="89" t="s">
        <v>249</v>
      </c>
      <c r="F173" s="73" t="s">
        <v>28</v>
      </c>
      <c r="G173" s="90">
        <v>0</v>
      </c>
      <c r="H173" s="91">
        <v>218</v>
      </c>
      <c r="I173" s="92">
        <v>218</v>
      </c>
      <c r="J173" s="91">
        <v>0</v>
      </c>
      <c r="K173" s="93">
        <v>218</v>
      </c>
      <c r="L173" s="96">
        <v>-108</v>
      </c>
      <c r="M173" s="149">
        <f>K173+L173</f>
        <v>110</v>
      </c>
      <c r="N173" s="11"/>
      <c r="O173" s="11"/>
      <c r="P173" s="11"/>
      <c r="T173" s="185"/>
      <c r="U173" s="194">
        <f>M173</f>
        <v>110</v>
      </c>
      <c r="AC173" s="203"/>
      <c r="AD173" s="188">
        <f t="shared" si="32"/>
        <v>110</v>
      </c>
    </row>
    <row r="174" spans="1:30" ht="47.25">
      <c r="A174" s="4"/>
      <c r="B174" s="148" t="s">
        <v>251</v>
      </c>
      <c r="C174" s="73" t="s">
        <v>180</v>
      </c>
      <c r="D174" s="73" t="s">
        <v>25</v>
      </c>
      <c r="E174" s="89" t="s">
        <v>249</v>
      </c>
      <c r="F174" s="73" t="s">
        <v>28</v>
      </c>
      <c r="G174" s="90">
        <v>0</v>
      </c>
      <c r="H174" s="91">
        <v>0</v>
      </c>
      <c r="I174" s="92">
        <v>0</v>
      </c>
      <c r="J174" s="91">
        <v>0</v>
      </c>
      <c r="K174" s="93">
        <v>0</v>
      </c>
      <c r="L174" s="97">
        <v>13</v>
      </c>
      <c r="M174" s="149">
        <f>K174+L174</f>
        <v>13</v>
      </c>
      <c r="N174" s="11"/>
      <c r="O174" s="11"/>
      <c r="P174" s="11"/>
      <c r="T174" s="185"/>
      <c r="U174" s="194">
        <f>M174</f>
        <v>13</v>
      </c>
      <c r="AC174" s="203"/>
      <c r="AD174" s="188">
        <f t="shared" si="32"/>
        <v>13</v>
      </c>
    </row>
    <row r="175" spans="1:30" ht="55.5" customHeight="1">
      <c r="A175" s="4"/>
      <c r="B175" s="131" t="s">
        <v>252</v>
      </c>
      <c r="C175" s="43" t="s">
        <v>180</v>
      </c>
      <c r="D175" s="43" t="s">
        <v>25</v>
      </c>
      <c r="E175" s="44" t="s">
        <v>253</v>
      </c>
      <c r="F175" s="43"/>
      <c r="G175" s="34">
        <f>G176</f>
        <v>800</v>
      </c>
      <c r="H175" s="35"/>
      <c r="I175" s="36">
        <f>I176</f>
        <v>1000</v>
      </c>
      <c r="J175" s="35">
        <f>J176</f>
        <v>-420.24703999999997</v>
      </c>
      <c r="K175" s="38">
        <f>K176</f>
        <v>579.7529599999999</v>
      </c>
      <c r="L175" s="38">
        <f>L176</f>
        <v>256.59652</v>
      </c>
      <c r="M175" s="136">
        <f>M176</f>
        <v>836.3494799999999</v>
      </c>
      <c r="N175" s="11"/>
      <c r="O175" s="11"/>
      <c r="P175" s="11"/>
      <c r="T175" s="187">
        <f>T176</f>
        <v>189.58455</v>
      </c>
      <c r="U175" s="192">
        <f>U176</f>
        <v>1025.93403</v>
      </c>
      <c r="AC175" s="203"/>
      <c r="AD175" s="188">
        <f t="shared" si="32"/>
        <v>1025.93403</v>
      </c>
    </row>
    <row r="176" spans="1:30" ht="69.75" customHeight="1">
      <c r="A176" s="4"/>
      <c r="B176" s="126" t="s">
        <v>254</v>
      </c>
      <c r="C176" s="43" t="s">
        <v>180</v>
      </c>
      <c r="D176" s="43" t="s">
        <v>25</v>
      </c>
      <c r="E176" s="44" t="s">
        <v>255</v>
      </c>
      <c r="F176" s="43" t="s">
        <v>28</v>
      </c>
      <c r="G176" s="34">
        <f>1000-200</f>
        <v>800</v>
      </c>
      <c r="H176" s="35"/>
      <c r="I176" s="36">
        <f>1000</f>
        <v>1000</v>
      </c>
      <c r="J176" s="35">
        <f>0-30.2-106-130-154.04704</f>
        <v>-420.24703999999997</v>
      </c>
      <c r="K176" s="38">
        <f>1000-30.2-106-130-154.04704</f>
        <v>579.7529599999999</v>
      </c>
      <c r="L176" s="38">
        <f>138.09652+110+8.5</f>
        <v>256.59652</v>
      </c>
      <c r="M176" s="136">
        <f>1000-30.2-106-130-154.04704+138.09652+110+8.5</f>
        <v>836.3494799999999</v>
      </c>
      <c r="N176" s="11"/>
      <c r="O176" s="11"/>
      <c r="P176" s="11"/>
      <c r="T176" s="187">
        <f>189.58455</f>
        <v>189.58455</v>
      </c>
      <c r="U176" s="192">
        <f>1000-30.2-106-130-154.04704+138.09652+110+8.5+T176</f>
        <v>1025.93403</v>
      </c>
      <c r="W176" t="s">
        <v>390</v>
      </c>
      <c r="AC176" s="203"/>
      <c r="AD176" s="188">
        <f t="shared" si="32"/>
        <v>1025.93403</v>
      </c>
    </row>
    <row r="177" spans="1:30" ht="35.25" customHeight="1">
      <c r="A177" s="4"/>
      <c r="B177" s="131" t="s">
        <v>256</v>
      </c>
      <c r="C177" s="43" t="s">
        <v>180</v>
      </c>
      <c r="D177" s="43" t="s">
        <v>25</v>
      </c>
      <c r="E177" s="44" t="s">
        <v>257</v>
      </c>
      <c r="F177" s="43"/>
      <c r="G177" s="34">
        <f>G178</f>
        <v>1000</v>
      </c>
      <c r="H177" s="35"/>
      <c r="I177" s="36">
        <f>I178</f>
        <v>1000</v>
      </c>
      <c r="J177" s="35">
        <f>J178+J179</f>
        <v>782.1</v>
      </c>
      <c r="K177" s="41">
        <f>K178+K179</f>
        <v>1782.1</v>
      </c>
      <c r="L177" s="38">
        <f>L178+L179</f>
        <v>204.3526</v>
      </c>
      <c r="M177" s="136">
        <f>M178+M179</f>
        <v>1986.4526</v>
      </c>
      <c r="N177" s="11"/>
      <c r="O177" s="11"/>
      <c r="P177" s="11"/>
      <c r="T177" s="185"/>
      <c r="U177" s="192">
        <f>U178+U179</f>
        <v>1986.4526</v>
      </c>
      <c r="AC177" s="203"/>
      <c r="AD177" s="188">
        <f t="shared" si="32"/>
        <v>1986.4526</v>
      </c>
    </row>
    <row r="178" spans="1:30" ht="70.5" customHeight="1">
      <c r="A178" s="4"/>
      <c r="B178" s="126" t="s">
        <v>258</v>
      </c>
      <c r="C178" s="43" t="s">
        <v>180</v>
      </c>
      <c r="D178" s="43" t="s">
        <v>25</v>
      </c>
      <c r="E178" s="44" t="s">
        <v>259</v>
      </c>
      <c r="F178" s="43" t="s">
        <v>28</v>
      </c>
      <c r="G178" s="34">
        <v>1000</v>
      </c>
      <c r="H178" s="35"/>
      <c r="I178" s="36">
        <v>1000</v>
      </c>
      <c r="J178" s="35"/>
      <c r="K178" s="41">
        <v>1000</v>
      </c>
      <c r="L178" s="38">
        <f>84.8526+65+54.5</f>
        <v>204.3526</v>
      </c>
      <c r="M178" s="136">
        <f>1000+84.8526+65+54.5</f>
        <v>1204.3526</v>
      </c>
      <c r="N178" s="11"/>
      <c r="O178" s="11"/>
      <c r="P178" s="11"/>
      <c r="T178" s="185"/>
      <c r="U178" s="192">
        <f>1000+84.8526+65+54.5</f>
        <v>1204.3526</v>
      </c>
      <c r="AC178" s="203"/>
      <c r="AD178" s="188">
        <f t="shared" si="32"/>
        <v>1204.3526</v>
      </c>
    </row>
    <row r="179" spans="1:30" ht="84.75" customHeight="1">
      <c r="A179" s="4"/>
      <c r="B179" s="126" t="s">
        <v>260</v>
      </c>
      <c r="C179" s="43" t="s">
        <v>180</v>
      </c>
      <c r="D179" s="43" t="s">
        <v>25</v>
      </c>
      <c r="E179" s="44" t="s">
        <v>261</v>
      </c>
      <c r="F179" s="43" t="s">
        <v>28</v>
      </c>
      <c r="G179" s="34">
        <v>0</v>
      </c>
      <c r="H179" s="35">
        <v>0</v>
      </c>
      <c r="I179" s="36">
        <v>0</v>
      </c>
      <c r="J179" s="35">
        <f>782.1</f>
        <v>782.1</v>
      </c>
      <c r="K179" s="41">
        <f>I179+J179</f>
        <v>782.1</v>
      </c>
      <c r="L179" s="38">
        <v>0</v>
      </c>
      <c r="M179" s="118">
        <f>K179+L179</f>
        <v>782.1</v>
      </c>
      <c r="N179" s="11"/>
      <c r="O179" s="11"/>
      <c r="P179" s="11"/>
      <c r="T179" s="185"/>
      <c r="U179" s="186">
        <f>M179</f>
        <v>782.1</v>
      </c>
      <c r="AC179" s="203"/>
      <c r="AD179" s="188">
        <f t="shared" si="32"/>
        <v>782.1</v>
      </c>
    </row>
    <row r="180" spans="1:30" ht="38.25" customHeight="1">
      <c r="A180" s="4"/>
      <c r="B180" s="124" t="s">
        <v>262</v>
      </c>
      <c r="C180" s="43" t="s">
        <v>180</v>
      </c>
      <c r="D180" s="43" t="s">
        <v>25</v>
      </c>
      <c r="E180" s="44" t="s">
        <v>263</v>
      </c>
      <c r="F180" s="43"/>
      <c r="G180" s="34">
        <f>G181</f>
        <v>100</v>
      </c>
      <c r="H180" s="35"/>
      <c r="I180" s="36">
        <f>I181</f>
        <v>100</v>
      </c>
      <c r="J180" s="35">
        <f>J181</f>
        <v>160.2</v>
      </c>
      <c r="K180" s="41">
        <f>K181</f>
        <v>260.2</v>
      </c>
      <c r="L180" s="41">
        <f>L181</f>
        <v>50</v>
      </c>
      <c r="M180" s="118">
        <f>M181</f>
        <v>310.2</v>
      </c>
      <c r="N180" s="11"/>
      <c r="O180" s="11"/>
      <c r="P180" s="11"/>
      <c r="T180" s="187">
        <f>T181</f>
        <v>-44.082710000000006</v>
      </c>
      <c r="U180" s="192">
        <f>U181</f>
        <v>266.11728999999997</v>
      </c>
      <c r="AC180" s="203"/>
      <c r="AD180" s="188">
        <f t="shared" si="32"/>
        <v>266.11728999999997</v>
      </c>
    </row>
    <row r="181" spans="1:30" ht="63.75" customHeight="1">
      <c r="A181" s="4"/>
      <c r="B181" s="124" t="s">
        <v>264</v>
      </c>
      <c r="C181" s="43" t="s">
        <v>180</v>
      </c>
      <c r="D181" s="43" t="s">
        <v>25</v>
      </c>
      <c r="E181" s="44" t="s">
        <v>265</v>
      </c>
      <c r="F181" s="43" t="s">
        <v>28</v>
      </c>
      <c r="G181" s="34">
        <v>100</v>
      </c>
      <c r="H181" s="35"/>
      <c r="I181" s="36">
        <v>100</v>
      </c>
      <c r="J181" s="35">
        <f>0+30.2+130</f>
        <v>160.2</v>
      </c>
      <c r="K181" s="41">
        <f>100+30.2+130</f>
        <v>260.2</v>
      </c>
      <c r="L181" s="41">
        <f>0+50</f>
        <v>50</v>
      </c>
      <c r="M181" s="118">
        <f>100+30.2+130+50</f>
        <v>310.2</v>
      </c>
      <c r="N181" s="11"/>
      <c r="O181" s="11"/>
      <c r="P181" s="11"/>
      <c r="T181" s="187">
        <f>22.31729-66.4</f>
        <v>-44.082710000000006</v>
      </c>
      <c r="U181" s="192">
        <f>100+30.2+130+50+T181</f>
        <v>266.11728999999997</v>
      </c>
      <c r="W181" t="s">
        <v>389</v>
      </c>
      <c r="AC181" s="203"/>
      <c r="AD181" s="188">
        <f t="shared" si="32"/>
        <v>266.11728999999997</v>
      </c>
    </row>
    <row r="182" spans="1:30" ht="69.75" customHeight="1">
      <c r="A182" s="4"/>
      <c r="B182" s="120" t="s">
        <v>266</v>
      </c>
      <c r="C182" s="79" t="s">
        <v>180</v>
      </c>
      <c r="D182" s="79" t="s">
        <v>25</v>
      </c>
      <c r="E182" s="80" t="s">
        <v>98</v>
      </c>
      <c r="F182" s="63"/>
      <c r="G182" s="23">
        <f aca="true" t="shared" si="40" ref="G182:M182">G183+G188</f>
        <v>6337.2</v>
      </c>
      <c r="H182" s="105">
        <f t="shared" si="40"/>
        <v>500</v>
      </c>
      <c r="I182" s="106">
        <f t="shared" si="40"/>
        <v>6837.200000000001</v>
      </c>
      <c r="J182" s="105">
        <f t="shared" si="40"/>
        <v>106</v>
      </c>
      <c r="K182" s="27">
        <f t="shared" si="40"/>
        <v>6943.200000000001</v>
      </c>
      <c r="L182" s="27">
        <f t="shared" si="40"/>
        <v>435</v>
      </c>
      <c r="M182" s="113">
        <f t="shared" si="40"/>
        <v>7378.200000000001</v>
      </c>
      <c r="N182" s="11"/>
      <c r="O182" s="11"/>
      <c r="P182" s="11"/>
      <c r="T182" s="187">
        <f>T183+T188</f>
        <v>-145.50184</v>
      </c>
      <c r="U182" s="188">
        <f>U183+U188</f>
        <v>7232.69816</v>
      </c>
      <c r="AC182" s="203"/>
      <c r="AD182" s="188">
        <f t="shared" si="32"/>
        <v>7232.69816</v>
      </c>
    </row>
    <row r="183" spans="1:30" ht="55.5" customHeight="1">
      <c r="A183" s="4"/>
      <c r="B183" s="153" t="s">
        <v>267</v>
      </c>
      <c r="C183" s="63" t="s">
        <v>180</v>
      </c>
      <c r="D183" s="63" t="s">
        <v>25</v>
      </c>
      <c r="E183" s="62" t="s">
        <v>268</v>
      </c>
      <c r="F183" s="63"/>
      <c r="G183" s="34">
        <f>G184+G186</f>
        <v>5812.3</v>
      </c>
      <c r="H183" s="35"/>
      <c r="I183" s="36">
        <f>I184+I186</f>
        <v>5812.3</v>
      </c>
      <c r="J183" s="35"/>
      <c r="K183" s="41">
        <f>K184+K186</f>
        <v>5812.3</v>
      </c>
      <c r="L183" s="38"/>
      <c r="M183" s="118">
        <f>M184+M186</f>
        <v>5812.3</v>
      </c>
      <c r="N183" s="11"/>
      <c r="O183" s="11"/>
      <c r="P183" s="11"/>
      <c r="T183" s="185"/>
      <c r="U183" s="186">
        <f>U184+U186</f>
        <v>5812.3</v>
      </c>
      <c r="AC183" s="203"/>
      <c r="AD183" s="188">
        <f t="shared" si="32"/>
        <v>5812.3</v>
      </c>
    </row>
    <row r="184" spans="1:30" ht="137.25" customHeight="1">
      <c r="A184" s="4"/>
      <c r="B184" s="115" t="s">
        <v>269</v>
      </c>
      <c r="C184" s="63" t="s">
        <v>180</v>
      </c>
      <c r="D184" s="63" t="s">
        <v>25</v>
      </c>
      <c r="E184" s="62" t="s">
        <v>270</v>
      </c>
      <c r="F184" s="63" t="s">
        <v>28</v>
      </c>
      <c r="G184" s="34">
        <v>5439.2</v>
      </c>
      <c r="H184" s="35"/>
      <c r="I184" s="36">
        <v>5439.2</v>
      </c>
      <c r="J184" s="35"/>
      <c r="K184" s="41">
        <v>5439.2</v>
      </c>
      <c r="L184" s="38"/>
      <c r="M184" s="118">
        <v>5439.2</v>
      </c>
      <c r="N184" s="11"/>
      <c r="O184" s="11"/>
      <c r="P184" s="11"/>
      <c r="T184" s="185"/>
      <c r="U184" s="186">
        <v>5439.2</v>
      </c>
      <c r="AC184" s="203"/>
      <c r="AD184" s="188">
        <f t="shared" si="32"/>
        <v>5439.2</v>
      </c>
    </row>
    <row r="185" spans="1:30" ht="36.75" customHeight="1">
      <c r="A185" s="4"/>
      <c r="B185" s="154" t="s">
        <v>118</v>
      </c>
      <c r="C185" s="63" t="s">
        <v>180</v>
      </c>
      <c r="D185" s="63" t="s">
        <v>25</v>
      </c>
      <c r="E185" s="62" t="s">
        <v>270</v>
      </c>
      <c r="F185" s="63" t="s">
        <v>28</v>
      </c>
      <c r="G185" s="34">
        <v>272</v>
      </c>
      <c r="H185" s="35"/>
      <c r="I185" s="36">
        <v>272</v>
      </c>
      <c r="J185" s="35"/>
      <c r="K185" s="41">
        <v>272</v>
      </c>
      <c r="L185" s="38"/>
      <c r="M185" s="118">
        <v>272</v>
      </c>
      <c r="N185" s="11"/>
      <c r="O185" s="11"/>
      <c r="P185" s="11"/>
      <c r="T185" s="185"/>
      <c r="U185" s="186">
        <v>272</v>
      </c>
      <c r="AC185" s="203"/>
      <c r="AD185" s="188">
        <f t="shared" si="32"/>
        <v>272</v>
      </c>
    </row>
    <row r="186" spans="1:30" ht="135.75" customHeight="1">
      <c r="A186" s="4"/>
      <c r="B186" s="115" t="s">
        <v>269</v>
      </c>
      <c r="C186" s="63" t="s">
        <v>180</v>
      </c>
      <c r="D186" s="63" t="s">
        <v>25</v>
      </c>
      <c r="E186" s="62" t="s">
        <v>271</v>
      </c>
      <c r="F186" s="63" t="s">
        <v>28</v>
      </c>
      <c r="G186" s="34">
        <v>373.1</v>
      </c>
      <c r="H186" s="35"/>
      <c r="I186" s="36">
        <v>373.1</v>
      </c>
      <c r="J186" s="35"/>
      <c r="K186" s="41">
        <v>373.1</v>
      </c>
      <c r="L186" s="38"/>
      <c r="M186" s="118">
        <v>373.1</v>
      </c>
      <c r="N186" s="11"/>
      <c r="O186" s="11"/>
      <c r="P186" s="11"/>
      <c r="T186" s="185"/>
      <c r="U186" s="186">
        <v>373.1</v>
      </c>
      <c r="AC186" s="203"/>
      <c r="AD186" s="188">
        <f t="shared" si="32"/>
        <v>373.1</v>
      </c>
    </row>
    <row r="187" spans="1:30" ht="37.5" customHeight="1">
      <c r="A187" s="4"/>
      <c r="B187" s="154" t="s">
        <v>118</v>
      </c>
      <c r="C187" s="63" t="s">
        <v>180</v>
      </c>
      <c r="D187" s="63" t="s">
        <v>25</v>
      </c>
      <c r="E187" s="62" t="s">
        <v>271</v>
      </c>
      <c r="F187" s="63" t="s">
        <v>28</v>
      </c>
      <c r="G187" s="34">
        <v>18.7</v>
      </c>
      <c r="H187" s="35"/>
      <c r="I187" s="36">
        <v>18.7</v>
      </c>
      <c r="J187" s="35"/>
      <c r="K187" s="41">
        <v>18.7</v>
      </c>
      <c r="L187" s="38"/>
      <c r="M187" s="118">
        <v>18.7</v>
      </c>
      <c r="N187" s="11"/>
      <c r="O187" s="11"/>
      <c r="P187" s="11"/>
      <c r="T187" s="185"/>
      <c r="U187" s="186">
        <v>18.7</v>
      </c>
      <c r="AC187" s="203"/>
      <c r="AD187" s="188">
        <f t="shared" si="32"/>
        <v>18.7</v>
      </c>
    </row>
    <row r="188" spans="1:30" ht="51.75" customHeight="1">
      <c r="A188" s="4"/>
      <c r="B188" s="115" t="s">
        <v>272</v>
      </c>
      <c r="C188" s="63" t="s">
        <v>180</v>
      </c>
      <c r="D188" s="63" t="s">
        <v>25</v>
      </c>
      <c r="E188" s="62" t="s">
        <v>273</v>
      </c>
      <c r="F188" s="63"/>
      <c r="G188" s="34">
        <f aca="true" t="shared" si="41" ref="G188:M188">G189</f>
        <v>524.9</v>
      </c>
      <c r="H188" s="35">
        <f t="shared" si="41"/>
        <v>500</v>
      </c>
      <c r="I188" s="36">
        <f t="shared" si="41"/>
        <v>1024.9</v>
      </c>
      <c r="J188" s="35">
        <f t="shared" si="41"/>
        <v>106</v>
      </c>
      <c r="K188" s="41">
        <f t="shared" si="41"/>
        <v>1130.9</v>
      </c>
      <c r="L188" s="41">
        <f t="shared" si="41"/>
        <v>435</v>
      </c>
      <c r="M188" s="118">
        <f t="shared" si="41"/>
        <v>1565.9</v>
      </c>
      <c r="N188" s="11"/>
      <c r="O188" s="11"/>
      <c r="P188" s="11"/>
      <c r="T188" s="187">
        <f>T189</f>
        <v>-145.50184</v>
      </c>
      <c r="U188" s="192">
        <f>U189</f>
        <v>1420.3981600000002</v>
      </c>
      <c r="AC188" s="203"/>
      <c r="AD188" s="188">
        <f t="shared" si="32"/>
        <v>1420.3981600000002</v>
      </c>
    </row>
    <row r="189" spans="1:30" ht="115.5" customHeight="1">
      <c r="A189" s="4"/>
      <c r="B189" s="115" t="s">
        <v>274</v>
      </c>
      <c r="C189" s="63" t="s">
        <v>180</v>
      </c>
      <c r="D189" s="63" t="s">
        <v>25</v>
      </c>
      <c r="E189" s="62" t="s">
        <v>275</v>
      </c>
      <c r="F189" s="63" t="s">
        <v>28</v>
      </c>
      <c r="G189" s="34">
        <v>524.9</v>
      </c>
      <c r="H189" s="35">
        <f>H190+250</f>
        <v>500</v>
      </c>
      <c r="I189" s="36">
        <f>524.9+500</f>
        <v>1024.9</v>
      </c>
      <c r="J189" s="35">
        <f>0+106</f>
        <v>106</v>
      </c>
      <c r="K189" s="41">
        <f>524.9+500+106</f>
        <v>1130.9</v>
      </c>
      <c r="L189" s="41">
        <f>0-65+500</f>
        <v>435</v>
      </c>
      <c r="M189" s="118">
        <f>524.9+500+106-65+500</f>
        <v>1565.9</v>
      </c>
      <c r="N189" s="11"/>
      <c r="O189" s="11" t="s">
        <v>355</v>
      </c>
      <c r="P189" s="11"/>
      <c r="T189" s="187">
        <f>-211.90184+66.4</f>
        <v>-145.50184</v>
      </c>
      <c r="U189" s="192">
        <f>524.9+500+106-65+500+T189</f>
        <v>1420.3981600000002</v>
      </c>
      <c r="W189" t="s">
        <v>388</v>
      </c>
      <c r="AC189" s="203"/>
      <c r="AD189" s="188">
        <f t="shared" si="32"/>
        <v>1420.3981600000002</v>
      </c>
    </row>
    <row r="190" spans="1:30" ht="50.25" customHeight="1">
      <c r="A190" s="4"/>
      <c r="B190" s="140" t="s">
        <v>276</v>
      </c>
      <c r="C190" s="73" t="s">
        <v>180</v>
      </c>
      <c r="D190" s="73" t="s">
        <v>25</v>
      </c>
      <c r="E190" s="89" t="s">
        <v>275</v>
      </c>
      <c r="F190" s="73" t="s">
        <v>28</v>
      </c>
      <c r="G190" s="90">
        <v>0</v>
      </c>
      <c r="H190" s="91">
        <v>250</v>
      </c>
      <c r="I190" s="92">
        <v>250</v>
      </c>
      <c r="J190" s="91">
        <v>0</v>
      </c>
      <c r="K190" s="93">
        <v>250</v>
      </c>
      <c r="L190" s="97">
        <v>-0.5</v>
      </c>
      <c r="M190" s="149">
        <f>K190+L190</f>
        <v>249.5</v>
      </c>
      <c r="N190" s="11"/>
      <c r="O190" s="11"/>
      <c r="P190" s="11"/>
      <c r="T190" s="185"/>
      <c r="U190" s="194">
        <f>M190</f>
        <v>249.5</v>
      </c>
      <c r="AC190" s="203"/>
      <c r="AD190" s="188">
        <f t="shared" si="32"/>
        <v>249.5</v>
      </c>
    </row>
    <row r="191" spans="1:30" ht="31.5" customHeight="1">
      <c r="A191" s="4"/>
      <c r="B191" s="126" t="s">
        <v>31</v>
      </c>
      <c r="C191" s="43" t="s">
        <v>180</v>
      </c>
      <c r="D191" s="43" t="s">
        <v>25</v>
      </c>
      <c r="E191" s="44" t="s">
        <v>18</v>
      </c>
      <c r="F191" s="73"/>
      <c r="G191" s="90"/>
      <c r="H191" s="91"/>
      <c r="I191" s="92"/>
      <c r="J191" s="91"/>
      <c r="K191" s="93"/>
      <c r="L191" s="41">
        <f>L192</f>
        <v>14.1</v>
      </c>
      <c r="M191" s="118">
        <f>M192</f>
        <v>14.1</v>
      </c>
      <c r="N191" s="11"/>
      <c r="O191" s="11"/>
      <c r="P191" s="11"/>
      <c r="T191" s="185"/>
      <c r="U191" s="186">
        <f>U192</f>
        <v>14.1</v>
      </c>
      <c r="AC191" s="203"/>
      <c r="AD191" s="188">
        <f t="shared" si="32"/>
        <v>14.1</v>
      </c>
    </row>
    <row r="192" spans="1:30" ht="27.75" customHeight="1">
      <c r="A192" s="4"/>
      <c r="B192" s="126" t="s">
        <v>19</v>
      </c>
      <c r="C192" s="43" t="s">
        <v>180</v>
      </c>
      <c r="D192" s="43" t="s">
        <v>25</v>
      </c>
      <c r="E192" s="44" t="s">
        <v>33</v>
      </c>
      <c r="F192" s="73"/>
      <c r="G192" s="90"/>
      <c r="H192" s="91"/>
      <c r="I192" s="92"/>
      <c r="J192" s="91"/>
      <c r="K192" s="93"/>
      <c r="L192" s="41">
        <f>L193</f>
        <v>14.1</v>
      </c>
      <c r="M192" s="118">
        <f>M193</f>
        <v>14.1</v>
      </c>
      <c r="N192" s="11"/>
      <c r="O192" s="11"/>
      <c r="P192" s="11"/>
      <c r="T192" s="185"/>
      <c r="U192" s="186">
        <f>U193</f>
        <v>14.1</v>
      </c>
      <c r="AC192" s="203"/>
      <c r="AD192" s="188">
        <f t="shared" si="32"/>
        <v>14.1</v>
      </c>
    </row>
    <row r="193" spans="1:30" ht="69.75" customHeight="1">
      <c r="A193" s="4"/>
      <c r="B193" s="126" t="s">
        <v>277</v>
      </c>
      <c r="C193" s="43" t="s">
        <v>180</v>
      </c>
      <c r="D193" s="43" t="s">
        <v>25</v>
      </c>
      <c r="E193" s="44" t="s">
        <v>278</v>
      </c>
      <c r="F193" s="43" t="s">
        <v>28</v>
      </c>
      <c r="G193" s="90"/>
      <c r="H193" s="91"/>
      <c r="I193" s="92"/>
      <c r="J193" s="91"/>
      <c r="K193" s="41">
        <v>0</v>
      </c>
      <c r="L193" s="41">
        <f>14.1</f>
        <v>14.1</v>
      </c>
      <c r="M193" s="118">
        <f>K193+L193</f>
        <v>14.1</v>
      </c>
      <c r="N193" s="11"/>
      <c r="O193" s="11"/>
      <c r="P193" s="11"/>
      <c r="T193" s="185"/>
      <c r="U193" s="186">
        <f>M193</f>
        <v>14.1</v>
      </c>
      <c r="AC193" s="203"/>
      <c r="AD193" s="188">
        <f t="shared" si="32"/>
        <v>14.1</v>
      </c>
    </row>
    <row r="194" spans="1:30" ht="47.25">
      <c r="A194" s="4"/>
      <c r="B194" s="112" t="s">
        <v>279</v>
      </c>
      <c r="C194" s="50" t="s">
        <v>180</v>
      </c>
      <c r="D194" s="50" t="s">
        <v>180</v>
      </c>
      <c r="E194" s="51" t="s">
        <v>16</v>
      </c>
      <c r="F194" s="50"/>
      <c r="G194" s="23">
        <f aca="true" t="shared" si="42" ref="G194:M196">G195</f>
        <v>2561.6</v>
      </c>
      <c r="H194" s="105">
        <f t="shared" si="42"/>
        <v>92.216</v>
      </c>
      <c r="I194" s="106">
        <f t="shared" si="42"/>
        <v>2653.816</v>
      </c>
      <c r="J194" s="105">
        <f t="shared" si="42"/>
        <v>0</v>
      </c>
      <c r="K194" s="30">
        <f t="shared" si="42"/>
        <v>2653.816</v>
      </c>
      <c r="L194" s="107">
        <f t="shared" si="42"/>
        <v>-74.4</v>
      </c>
      <c r="M194" s="114">
        <f t="shared" si="42"/>
        <v>2579.4159999999997</v>
      </c>
      <c r="N194" s="11"/>
      <c r="O194" s="11"/>
      <c r="P194" s="11"/>
      <c r="T194" s="185"/>
      <c r="U194" s="190">
        <f>U195</f>
        <v>2579.4159999999997</v>
      </c>
      <c r="AC194" s="203"/>
      <c r="AD194" s="188">
        <f t="shared" si="32"/>
        <v>2579.4159999999997</v>
      </c>
    </row>
    <row r="195" spans="1:30" ht="117" customHeight="1">
      <c r="A195" s="4"/>
      <c r="B195" s="126" t="s">
        <v>59</v>
      </c>
      <c r="C195" s="43" t="s">
        <v>180</v>
      </c>
      <c r="D195" s="43" t="s">
        <v>180</v>
      </c>
      <c r="E195" s="44" t="s">
        <v>16</v>
      </c>
      <c r="F195" s="43"/>
      <c r="G195" s="34">
        <f t="shared" si="42"/>
        <v>2561.6</v>
      </c>
      <c r="H195" s="35">
        <f t="shared" si="42"/>
        <v>92.216</v>
      </c>
      <c r="I195" s="36">
        <f t="shared" si="42"/>
        <v>2653.816</v>
      </c>
      <c r="J195" s="35">
        <f t="shared" si="42"/>
        <v>0</v>
      </c>
      <c r="K195" s="37">
        <f t="shared" si="42"/>
        <v>2653.816</v>
      </c>
      <c r="L195" s="38">
        <f t="shared" si="42"/>
        <v>-74.4</v>
      </c>
      <c r="M195" s="116">
        <f t="shared" si="42"/>
        <v>2579.4159999999997</v>
      </c>
      <c r="N195" s="11"/>
      <c r="O195" s="11"/>
      <c r="P195" s="11"/>
      <c r="T195" s="185"/>
      <c r="U195" s="191">
        <f>U196</f>
        <v>2579.4159999999997</v>
      </c>
      <c r="AC195" s="203"/>
      <c r="AD195" s="188">
        <f t="shared" si="32"/>
        <v>2579.4159999999997</v>
      </c>
    </row>
    <row r="196" spans="1:30" ht="43.5" customHeight="1">
      <c r="A196" s="4"/>
      <c r="B196" s="124" t="s">
        <v>168</v>
      </c>
      <c r="C196" s="43" t="s">
        <v>180</v>
      </c>
      <c r="D196" s="43" t="s">
        <v>180</v>
      </c>
      <c r="E196" s="44" t="s">
        <v>61</v>
      </c>
      <c r="F196" s="43"/>
      <c r="G196" s="34">
        <f t="shared" si="42"/>
        <v>2561.6</v>
      </c>
      <c r="H196" s="35">
        <f t="shared" si="42"/>
        <v>92.216</v>
      </c>
      <c r="I196" s="36">
        <f t="shared" si="42"/>
        <v>2653.816</v>
      </c>
      <c r="J196" s="35">
        <f t="shared" si="42"/>
        <v>0</v>
      </c>
      <c r="K196" s="37">
        <f t="shared" si="42"/>
        <v>2653.816</v>
      </c>
      <c r="L196" s="38">
        <f t="shared" si="42"/>
        <v>-74.4</v>
      </c>
      <c r="M196" s="116">
        <f t="shared" si="42"/>
        <v>2579.4159999999997</v>
      </c>
      <c r="N196" s="11"/>
      <c r="O196" s="11"/>
      <c r="P196" s="11"/>
      <c r="T196" s="185"/>
      <c r="U196" s="191">
        <f>U197</f>
        <v>2579.4159999999997</v>
      </c>
      <c r="AC196" s="203"/>
      <c r="AD196" s="188">
        <f t="shared" si="32"/>
        <v>2579.4159999999997</v>
      </c>
    </row>
    <row r="197" spans="1:30" ht="180.75" customHeight="1">
      <c r="A197" s="4"/>
      <c r="B197" s="124" t="s">
        <v>62</v>
      </c>
      <c r="C197" s="43" t="s">
        <v>180</v>
      </c>
      <c r="D197" s="43" t="s">
        <v>180</v>
      </c>
      <c r="E197" s="44" t="s">
        <v>63</v>
      </c>
      <c r="F197" s="43" t="s">
        <v>23</v>
      </c>
      <c r="G197" s="34">
        <v>2561.6</v>
      </c>
      <c r="H197" s="35">
        <v>92.216</v>
      </c>
      <c r="I197" s="36">
        <f>2561.6+92.216</f>
        <v>2653.816</v>
      </c>
      <c r="J197" s="35">
        <v>0</v>
      </c>
      <c r="K197" s="37">
        <f>2561.6+92.216</f>
        <v>2653.816</v>
      </c>
      <c r="L197" s="38">
        <f>-60-14.4</f>
        <v>-74.4</v>
      </c>
      <c r="M197" s="116">
        <f>2561.6+92.216-60-14.4</f>
        <v>2579.4159999999997</v>
      </c>
      <c r="N197" s="11"/>
      <c r="O197" s="11"/>
      <c r="P197" s="11"/>
      <c r="T197" s="185"/>
      <c r="U197" s="191">
        <f>2561.6+92.216-60-14.4</f>
        <v>2579.4159999999997</v>
      </c>
      <c r="AC197" s="203"/>
      <c r="AD197" s="188">
        <f t="shared" si="32"/>
        <v>2579.4159999999997</v>
      </c>
    </row>
    <row r="198" spans="1:30" ht="15.75">
      <c r="A198" s="4"/>
      <c r="B198" s="112" t="s">
        <v>280</v>
      </c>
      <c r="C198" s="50" t="s">
        <v>151</v>
      </c>
      <c r="D198" s="50"/>
      <c r="E198" s="44"/>
      <c r="F198" s="43"/>
      <c r="G198" s="23">
        <f aca="true" t="shared" si="43" ref="G198:M198">G199</f>
        <v>26436.5</v>
      </c>
      <c r="H198" s="105">
        <f t="shared" si="43"/>
        <v>210.364</v>
      </c>
      <c r="I198" s="106">
        <f t="shared" si="43"/>
        <v>26646.864</v>
      </c>
      <c r="J198" s="105">
        <f t="shared" si="43"/>
        <v>493.73526</v>
      </c>
      <c r="K198" s="107">
        <f t="shared" si="43"/>
        <v>27140.59926</v>
      </c>
      <c r="L198" s="107">
        <f t="shared" si="43"/>
        <v>214.06474</v>
      </c>
      <c r="M198" s="114">
        <f t="shared" si="43"/>
        <v>27354.663999999997</v>
      </c>
      <c r="N198" s="11"/>
      <c r="O198" s="11"/>
      <c r="P198" s="11"/>
      <c r="T198" s="185"/>
      <c r="U198" s="190">
        <f>U199</f>
        <v>27354.663999999997</v>
      </c>
      <c r="AC198" s="203"/>
      <c r="AD198" s="188">
        <f t="shared" si="32"/>
        <v>27354.663999999997</v>
      </c>
    </row>
    <row r="199" spans="1:30" ht="24" customHeight="1">
      <c r="A199" s="4"/>
      <c r="B199" s="155" t="s">
        <v>281</v>
      </c>
      <c r="C199" s="50" t="s">
        <v>151</v>
      </c>
      <c r="D199" s="50" t="s">
        <v>14</v>
      </c>
      <c r="E199" s="51"/>
      <c r="F199" s="50"/>
      <c r="G199" s="23">
        <f>G200+G203+G218+G224</f>
        <v>26436.5</v>
      </c>
      <c r="H199" s="105">
        <f>H200+H203+H218+H224</f>
        <v>210.364</v>
      </c>
      <c r="I199" s="106">
        <f>I200+I203+I218+I224</f>
        <v>26646.864</v>
      </c>
      <c r="J199" s="105">
        <f>J200+J203+J218+J222</f>
        <v>493.73526</v>
      </c>
      <c r="K199" s="107">
        <f>K200+K203+K218+K224</f>
        <v>27140.59926</v>
      </c>
      <c r="L199" s="107">
        <f>L200+L203+L218+L222</f>
        <v>214.06474</v>
      </c>
      <c r="M199" s="114">
        <f>M200+M203+M218+M224</f>
        <v>27354.663999999997</v>
      </c>
      <c r="N199" s="11"/>
      <c r="O199" s="11"/>
      <c r="P199" s="11"/>
      <c r="T199" s="185"/>
      <c r="U199" s="190">
        <f>U200+U203+U218+U224</f>
        <v>27354.663999999997</v>
      </c>
      <c r="AC199" s="203"/>
      <c r="AD199" s="188">
        <f t="shared" si="32"/>
        <v>27354.663999999997</v>
      </c>
    </row>
    <row r="200" spans="1:30" ht="120" customHeight="1">
      <c r="A200" s="4"/>
      <c r="B200" s="112" t="s">
        <v>59</v>
      </c>
      <c r="C200" s="50" t="s">
        <v>151</v>
      </c>
      <c r="D200" s="50" t="s">
        <v>14</v>
      </c>
      <c r="E200" s="51" t="s">
        <v>16</v>
      </c>
      <c r="F200" s="50"/>
      <c r="G200" s="23">
        <f>G201</f>
        <v>2553.7</v>
      </c>
      <c r="H200" s="105"/>
      <c r="I200" s="106">
        <f aca="true" t="shared" si="44" ref="I200:M201">I201</f>
        <v>2553.7</v>
      </c>
      <c r="J200" s="105">
        <f t="shared" si="44"/>
        <v>152.2</v>
      </c>
      <c r="K200" s="27">
        <f t="shared" si="44"/>
        <v>2705.8999999999996</v>
      </c>
      <c r="L200" s="27">
        <f t="shared" si="44"/>
        <v>0</v>
      </c>
      <c r="M200" s="113">
        <f t="shared" si="44"/>
        <v>2705.8999999999996</v>
      </c>
      <c r="N200" s="11"/>
      <c r="O200" s="11"/>
      <c r="P200" s="11"/>
      <c r="T200" s="185"/>
      <c r="U200" s="189">
        <f>U201</f>
        <v>2705.8999999999996</v>
      </c>
      <c r="AC200" s="203"/>
      <c r="AD200" s="188">
        <f t="shared" si="32"/>
        <v>2705.8999999999996</v>
      </c>
    </row>
    <row r="201" spans="1:30" ht="36" customHeight="1">
      <c r="A201" s="4"/>
      <c r="B201" s="124" t="s">
        <v>168</v>
      </c>
      <c r="C201" s="43" t="s">
        <v>151</v>
      </c>
      <c r="D201" s="43" t="s">
        <v>14</v>
      </c>
      <c r="E201" s="44" t="s">
        <v>61</v>
      </c>
      <c r="F201" s="43"/>
      <c r="G201" s="34">
        <f>G202</f>
        <v>2553.7</v>
      </c>
      <c r="H201" s="35"/>
      <c r="I201" s="36">
        <f t="shared" si="44"/>
        <v>2553.7</v>
      </c>
      <c r="J201" s="35">
        <f t="shared" si="44"/>
        <v>152.2</v>
      </c>
      <c r="K201" s="41">
        <f t="shared" si="44"/>
        <v>2705.8999999999996</v>
      </c>
      <c r="L201" s="41">
        <f t="shared" si="44"/>
        <v>0</v>
      </c>
      <c r="M201" s="118">
        <f t="shared" si="44"/>
        <v>2705.8999999999996</v>
      </c>
      <c r="N201" s="11"/>
      <c r="O201" s="11"/>
      <c r="P201" s="11"/>
      <c r="T201" s="185"/>
      <c r="U201" s="186">
        <f>U202</f>
        <v>2705.8999999999996</v>
      </c>
      <c r="AC201" s="203"/>
      <c r="AD201" s="188">
        <f t="shared" si="32"/>
        <v>2705.8999999999996</v>
      </c>
    </row>
    <row r="202" spans="1:30" ht="184.5" customHeight="1">
      <c r="A202" s="4"/>
      <c r="B202" s="124" t="s">
        <v>62</v>
      </c>
      <c r="C202" s="43" t="s">
        <v>151</v>
      </c>
      <c r="D202" s="43" t="s">
        <v>14</v>
      </c>
      <c r="E202" s="44" t="s">
        <v>63</v>
      </c>
      <c r="F202" s="43" t="s">
        <v>23</v>
      </c>
      <c r="G202" s="34">
        <v>2553.7</v>
      </c>
      <c r="H202" s="35"/>
      <c r="I202" s="36">
        <v>2553.7</v>
      </c>
      <c r="J202" s="35">
        <f>0+152.2</f>
        <v>152.2</v>
      </c>
      <c r="K202" s="41">
        <f>2553.7+152.2</f>
        <v>2705.8999999999996</v>
      </c>
      <c r="L202" s="41">
        <v>0</v>
      </c>
      <c r="M202" s="118">
        <f>2553.7+152.2</f>
        <v>2705.8999999999996</v>
      </c>
      <c r="N202" s="11"/>
      <c r="O202" s="11"/>
      <c r="P202" s="11"/>
      <c r="T202" s="185"/>
      <c r="U202" s="186">
        <f>2553.7+152.2</f>
        <v>2705.8999999999996</v>
      </c>
      <c r="AC202" s="203"/>
      <c r="AD202" s="188">
        <f t="shared" si="32"/>
        <v>2705.8999999999996</v>
      </c>
    </row>
    <row r="203" spans="1:30" ht="98.25" customHeight="1">
      <c r="A203" s="4"/>
      <c r="B203" s="156" t="s">
        <v>282</v>
      </c>
      <c r="C203" s="98" t="s">
        <v>151</v>
      </c>
      <c r="D203" s="50" t="s">
        <v>14</v>
      </c>
      <c r="E203" s="51" t="s">
        <v>283</v>
      </c>
      <c r="F203" s="50"/>
      <c r="G203" s="23">
        <f aca="true" t="shared" si="45" ref="G203:M203">G204+G206+G211</f>
        <v>12727.9</v>
      </c>
      <c r="H203" s="105">
        <f t="shared" si="45"/>
        <v>210.364</v>
      </c>
      <c r="I203" s="106">
        <f t="shared" si="45"/>
        <v>12938.264</v>
      </c>
      <c r="J203" s="105">
        <f t="shared" si="45"/>
        <v>342.43525999999997</v>
      </c>
      <c r="K203" s="107">
        <f t="shared" si="45"/>
        <v>13280.69926</v>
      </c>
      <c r="L203" s="107">
        <f t="shared" si="45"/>
        <v>214.06474</v>
      </c>
      <c r="M203" s="114">
        <f t="shared" si="45"/>
        <v>13494.764</v>
      </c>
      <c r="N203" s="11"/>
      <c r="O203" s="11"/>
      <c r="P203" s="11"/>
      <c r="T203" s="185"/>
      <c r="U203" s="190">
        <f>U204+U206+U211</f>
        <v>13494.764</v>
      </c>
      <c r="AC203" s="203"/>
      <c r="AD203" s="188">
        <f t="shared" si="32"/>
        <v>13494.764</v>
      </c>
    </row>
    <row r="204" spans="1:30" ht="47.25">
      <c r="A204" s="4"/>
      <c r="B204" s="157" t="s">
        <v>284</v>
      </c>
      <c r="C204" s="67" t="s">
        <v>151</v>
      </c>
      <c r="D204" s="43" t="s">
        <v>14</v>
      </c>
      <c r="E204" s="44" t="s">
        <v>285</v>
      </c>
      <c r="F204" s="43"/>
      <c r="G204" s="34">
        <f aca="true" t="shared" si="46" ref="G204:M204">G205</f>
        <v>121</v>
      </c>
      <c r="H204" s="35">
        <f t="shared" si="46"/>
        <v>0</v>
      </c>
      <c r="I204" s="36">
        <f t="shared" si="46"/>
        <v>121</v>
      </c>
      <c r="J204" s="35">
        <f t="shared" si="46"/>
        <v>127.93526</v>
      </c>
      <c r="K204" s="38">
        <f t="shared" si="46"/>
        <v>248.93526</v>
      </c>
      <c r="L204" s="38">
        <f t="shared" si="46"/>
        <v>-127.93526</v>
      </c>
      <c r="M204" s="118">
        <f t="shared" si="46"/>
        <v>121</v>
      </c>
      <c r="N204" s="11"/>
      <c r="O204" s="11"/>
      <c r="P204" s="11"/>
      <c r="T204" s="185"/>
      <c r="U204" s="186">
        <f>U205</f>
        <v>121</v>
      </c>
      <c r="AC204" s="203"/>
      <c r="AD204" s="188">
        <f t="shared" si="32"/>
        <v>121</v>
      </c>
    </row>
    <row r="205" spans="1:30" ht="105" customHeight="1">
      <c r="A205" s="4"/>
      <c r="B205" s="157" t="s">
        <v>286</v>
      </c>
      <c r="C205" s="67" t="s">
        <v>151</v>
      </c>
      <c r="D205" s="43" t="s">
        <v>14</v>
      </c>
      <c r="E205" s="44" t="s">
        <v>287</v>
      </c>
      <c r="F205" s="43" t="s">
        <v>288</v>
      </c>
      <c r="G205" s="34">
        <f>80+41</f>
        <v>121</v>
      </c>
      <c r="H205" s="35">
        <f>-15.364+15.364</f>
        <v>0</v>
      </c>
      <c r="I205" s="36">
        <f>80+41</f>
        <v>121</v>
      </c>
      <c r="J205" s="35">
        <f>-15.364+15.364+127.93526</f>
        <v>127.93526</v>
      </c>
      <c r="K205" s="38">
        <f>80+41+127.93526</f>
        <v>248.93526</v>
      </c>
      <c r="L205" s="38">
        <v>-127.93526</v>
      </c>
      <c r="M205" s="118">
        <f>80+41+127.93526-127.93526</f>
        <v>121</v>
      </c>
      <c r="N205" s="11"/>
      <c r="O205" s="11"/>
      <c r="P205" s="11"/>
      <c r="T205" s="185"/>
      <c r="U205" s="186">
        <f>80+41+127.93526-127.93526</f>
        <v>121</v>
      </c>
      <c r="AC205" s="203"/>
      <c r="AD205" s="188">
        <f t="shared" si="32"/>
        <v>121</v>
      </c>
    </row>
    <row r="206" spans="1:30" ht="38.25" customHeight="1">
      <c r="A206" s="4"/>
      <c r="B206" s="126" t="s">
        <v>289</v>
      </c>
      <c r="C206" s="43" t="s">
        <v>151</v>
      </c>
      <c r="D206" s="43" t="s">
        <v>14</v>
      </c>
      <c r="E206" s="44" t="s">
        <v>290</v>
      </c>
      <c r="F206" s="43"/>
      <c r="G206" s="34">
        <f aca="true" t="shared" si="47" ref="G206:M206">G207+G208+G209</f>
        <v>12475.3</v>
      </c>
      <c r="H206" s="35">
        <f t="shared" si="47"/>
        <v>129.5</v>
      </c>
      <c r="I206" s="36">
        <f t="shared" si="47"/>
        <v>12604.8</v>
      </c>
      <c r="J206" s="35">
        <f t="shared" si="47"/>
        <v>214.5</v>
      </c>
      <c r="K206" s="41">
        <f t="shared" si="47"/>
        <v>12819.3</v>
      </c>
      <c r="L206" s="41">
        <f t="shared" si="47"/>
        <v>342</v>
      </c>
      <c r="M206" s="118">
        <f t="shared" si="47"/>
        <v>13161.3</v>
      </c>
      <c r="N206" s="11"/>
      <c r="O206" s="11"/>
      <c r="P206" s="11"/>
      <c r="T206" s="185"/>
      <c r="U206" s="186">
        <f>U207+U208+U209</f>
        <v>13161.3</v>
      </c>
      <c r="AC206" s="203"/>
      <c r="AD206" s="188">
        <f t="shared" si="32"/>
        <v>13161.3</v>
      </c>
    </row>
    <row r="207" spans="1:30" ht="104.25" customHeight="1">
      <c r="A207" s="4"/>
      <c r="B207" s="158" t="s">
        <v>291</v>
      </c>
      <c r="C207" s="43" t="s">
        <v>151</v>
      </c>
      <c r="D207" s="43" t="s">
        <v>14</v>
      </c>
      <c r="E207" s="44" t="s">
        <v>292</v>
      </c>
      <c r="F207" s="43" t="s">
        <v>288</v>
      </c>
      <c r="G207" s="34">
        <v>6367.8</v>
      </c>
      <c r="H207" s="35"/>
      <c r="I207" s="36">
        <v>6367.8</v>
      </c>
      <c r="J207" s="35">
        <f>0.9+100+101</f>
        <v>201.9</v>
      </c>
      <c r="K207" s="41">
        <f>6367.8+101.9+100</f>
        <v>6569.7</v>
      </c>
      <c r="L207" s="41">
        <f>0+199.5+60.3-15.3</f>
        <v>244.5</v>
      </c>
      <c r="M207" s="118">
        <f>6367.8+101.9+100+199.5+60.3-15.3</f>
        <v>6814.2</v>
      </c>
      <c r="N207" s="11"/>
      <c r="O207" s="11"/>
      <c r="P207" s="11"/>
      <c r="T207" s="185"/>
      <c r="U207" s="186">
        <f>6367.8+101.9+100+199.5+60.3-15.3</f>
        <v>6814.2</v>
      </c>
      <c r="AC207" s="203"/>
      <c r="AD207" s="188">
        <f aca="true" t="shared" si="48" ref="AD207:AD254">U207+AC207</f>
        <v>6814.2</v>
      </c>
    </row>
    <row r="208" spans="1:30" ht="118.5" customHeight="1">
      <c r="A208" s="4"/>
      <c r="B208" s="159" t="s">
        <v>293</v>
      </c>
      <c r="C208" s="48" t="s">
        <v>151</v>
      </c>
      <c r="D208" s="48" t="s">
        <v>14</v>
      </c>
      <c r="E208" s="49" t="s">
        <v>294</v>
      </c>
      <c r="F208" s="43" t="s">
        <v>288</v>
      </c>
      <c r="G208" s="34">
        <v>1787.5</v>
      </c>
      <c r="H208" s="35"/>
      <c r="I208" s="36">
        <v>1787.5</v>
      </c>
      <c r="J208" s="35">
        <f>0+12.6</f>
        <v>12.6</v>
      </c>
      <c r="K208" s="41">
        <f>1787.5+12.6</f>
        <v>1800.1</v>
      </c>
      <c r="L208" s="38">
        <v>17</v>
      </c>
      <c r="M208" s="118">
        <f>1787.5+12.6+17</f>
        <v>1817.1</v>
      </c>
      <c r="N208" s="11"/>
      <c r="O208" s="11"/>
      <c r="P208" s="11"/>
      <c r="T208" s="185"/>
      <c r="U208" s="186">
        <f>1787.5+12.6+17</f>
        <v>1817.1</v>
      </c>
      <c r="AC208" s="203"/>
      <c r="AD208" s="188">
        <f t="shared" si="48"/>
        <v>1817.1</v>
      </c>
    </row>
    <row r="209" spans="1:30" ht="178.5" customHeight="1">
      <c r="A209" s="4"/>
      <c r="B209" s="160" t="s">
        <v>356</v>
      </c>
      <c r="C209" s="43" t="s">
        <v>151</v>
      </c>
      <c r="D209" s="43" t="s">
        <v>14</v>
      </c>
      <c r="E209" s="44" t="s">
        <v>295</v>
      </c>
      <c r="F209" s="43" t="s">
        <v>288</v>
      </c>
      <c r="G209" s="34">
        <f>3499.1+820.9</f>
        <v>4320</v>
      </c>
      <c r="H209" s="35">
        <f>105+24.5</f>
        <v>129.5</v>
      </c>
      <c r="I209" s="36">
        <f>3499.1+820.9+105+24.5</f>
        <v>4449.5</v>
      </c>
      <c r="J209" s="35">
        <v>0</v>
      </c>
      <c r="K209" s="41">
        <f>3499.1+820.9+105+24.5</f>
        <v>4449.5</v>
      </c>
      <c r="L209" s="41">
        <f>10.6+3.2+39.5+11.9+9.3+2.8+0.7+2.5</f>
        <v>80.5</v>
      </c>
      <c r="M209" s="118">
        <f>3499.1+820.9+105+24.5+10.6+3.2+39.5+11.9+9.3+2.8+0.7+2.5</f>
        <v>4530</v>
      </c>
      <c r="N209" s="11"/>
      <c r="O209" s="11"/>
      <c r="P209" s="11"/>
      <c r="T209" s="185"/>
      <c r="U209" s="186">
        <f>3499.1+820.9+105+24.5+10.6+3.2+39.5+11.9+9.3+2.8+0.7+2.5</f>
        <v>4530</v>
      </c>
      <c r="AC209" s="203"/>
      <c r="AD209" s="188">
        <f t="shared" si="48"/>
        <v>4530</v>
      </c>
    </row>
    <row r="210" spans="1:30" ht="36.75" customHeight="1">
      <c r="A210" s="4"/>
      <c r="B210" s="161" t="s">
        <v>118</v>
      </c>
      <c r="C210" s="43" t="s">
        <v>151</v>
      </c>
      <c r="D210" s="43" t="s">
        <v>14</v>
      </c>
      <c r="E210" s="44" t="s">
        <v>295</v>
      </c>
      <c r="F210" s="43" t="s">
        <v>288</v>
      </c>
      <c r="G210" s="34">
        <v>820.9</v>
      </c>
      <c r="H210" s="35">
        <v>24.5</v>
      </c>
      <c r="I210" s="36">
        <f>820.9+24.5</f>
        <v>845.4</v>
      </c>
      <c r="J210" s="35">
        <v>0</v>
      </c>
      <c r="K210" s="41">
        <f>820.9+24.5</f>
        <v>845.4</v>
      </c>
      <c r="L210" s="38">
        <v>15.3</v>
      </c>
      <c r="M210" s="118">
        <f>820.9+24.5+15.3</f>
        <v>860.6999999999999</v>
      </c>
      <c r="N210" s="11"/>
      <c r="O210" s="11"/>
      <c r="P210" s="11"/>
      <c r="T210" s="185"/>
      <c r="U210" s="186">
        <f>820.9+24.5+15.3</f>
        <v>860.6999999999999</v>
      </c>
      <c r="AC210" s="203"/>
      <c r="AD210" s="188">
        <f t="shared" si="48"/>
        <v>860.6999999999999</v>
      </c>
    </row>
    <row r="211" spans="1:30" ht="63">
      <c r="A211" s="4"/>
      <c r="B211" s="145" t="s">
        <v>296</v>
      </c>
      <c r="C211" s="63" t="s">
        <v>151</v>
      </c>
      <c r="D211" s="63" t="s">
        <v>14</v>
      </c>
      <c r="E211" s="62" t="s">
        <v>297</v>
      </c>
      <c r="F211" s="63"/>
      <c r="G211" s="34">
        <f>G212</f>
        <v>131.6</v>
      </c>
      <c r="H211" s="35">
        <f aca="true" t="shared" si="49" ref="H211:M211">H212+H214+H216</f>
        <v>80.864</v>
      </c>
      <c r="I211" s="36">
        <f t="shared" si="49"/>
        <v>212.464</v>
      </c>
      <c r="J211" s="35">
        <f t="shared" si="49"/>
        <v>0</v>
      </c>
      <c r="K211" s="37">
        <f t="shared" si="49"/>
        <v>212.464</v>
      </c>
      <c r="L211" s="38">
        <f t="shared" si="49"/>
        <v>0</v>
      </c>
      <c r="M211" s="116">
        <f t="shared" si="49"/>
        <v>212.464</v>
      </c>
      <c r="N211" s="11"/>
      <c r="O211" s="11"/>
      <c r="P211" s="11"/>
      <c r="T211" s="185"/>
      <c r="U211" s="191">
        <f>U212+U214+U216</f>
        <v>212.464</v>
      </c>
      <c r="AC211" s="203"/>
      <c r="AD211" s="188">
        <f t="shared" si="48"/>
        <v>212.464</v>
      </c>
    </row>
    <row r="212" spans="1:30" ht="141.75" hidden="1">
      <c r="A212" s="4"/>
      <c r="B212" s="145" t="s">
        <v>298</v>
      </c>
      <c r="C212" s="63" t="s">
        <v>151</v>
      </c>
      <c r="D212" s="63" t="s">
        <v>14</v>
      </c>
      <c r="E212" s="62" t="s">
        <v>299</v>
      </c>
      <c r="F212" s="63" t="s">
        <v>288</v>
      </c>
      <c r="G212" s="34">
        <f>125+6.6</f>
        <v>131.6</v>
      </c>
      <c r="H212" s="35">
        <v>-131.6</v>
      </c>
      <c r="I212" s="36">
        <f aca="true" t="shared" si="50" ref="I212:I217">G212+H212</f>
        <v>0</v>
      </c>
      <c r="J212" s="35">
        <v>0</v>
      </c>
      <c r="K212" s="37">
        <f aca="true" t="shared" si="51" ref="K212:K217">I212+J212</f>
        <v>0</v>
      </c>
      <c r="L212" s="38">
        <v>0</v>
      </c>
      <c r="M212" s="116">
        <f aca="true" t="shared" si="52" ref="M212:M217">K212+L212</f>
        <v>0</v>
      </c>
      <c r="N212" s="11"/>
      <c r="O212" s="11"/>
      <c r="P212" s="11"/>
      <c r="T212" s="185"/>
      <c r="U212" s="191">
        <f>S212+T212</f>
        <v>0</v>
      </c>
      <c r="AC212" s="203"/>
      <c r="AD212" s="188">
        <f t="shared" si="48"/>
        <v>0</v>
      </c>
    </row>
    <row r="213" spans="1:30" ht="31.5" hidden="1">
      <c r="A213" s="4"/>
      <c r="B213" s="161" t="s">
        <v>118</v>
      </c>
      <c r="C213" s="63" t="s">
        <v>151</v>
      </c>
      <c r="D213" s="63" t="s">
        <v>14</v>
      </c>
      <c r="E213" s="62" t="s">
        <v>299</v>
      </c>
      <c r="F213" s="63" t="s">
        <v>288</v>
      </c>
      <c r="G213" s="34">
        <v>6.6</v>
      </c>
      <c r="H213" s="35">
        <v>-6.6</v>
      </c>
      <c r="I213" s="36">
        <f t="shared" si="50"/>
        <v>0</v>
      </c>
      <c r="J213" s="35">
        <v>0</v>
      </c>
      <c r="K213" s="37">
        <f t="shared" si="51"/>
        <v>0</v>
      </c>
      <c r="L213" s="38">
        <v>0</v>
      </c>
      <c r="M213" s="118">
        <f t="shared" si="52"/>
        <v>0</v>
      </c>
      <c r="N213" s="11"/>
      <c r="O213" s="11"/>
      <c r="P213" s="11"/>
      <c r="T213" s="185"/>
      <c r="U213" s="186">
        <f>S213+T213</f>
        <v>0</v>
      </c>
      <c r="AC213" s="203"/>
      <c r="AD213" s="188">
        <f t="shared" si="48"/>
        <v>0</v>
      </c>
    </row>
    <row r="214" spans="1:30" ht="163.5" customHeight="1">
      <c r="A214" s="4"/>
      <c r="B214" s="145" t="s">
        <v>300</v>
      </c>
      <c r="C214" s="63" t="s">
        <v>151</v>
      </c>
      <c r="D214" s="63" t="s">
        <v>14</v>
      </c>
      <c r="E214" s="62" t="s">
        <v>301</v>
      </c>
      <c r="F214" s="63" t="s">
        <v>288</v>
      </c>
      <c r="G214" s="34">
        <v>0</v>
      </c>
      <c r="H214" s="35">
        <f>131.6+0</f>
        <v>131.6</v>
      </c>
      <c r="I214" s="36">
        <f t="shared" si="50"/>
        <v>131.6</v>
      </c>
      <c r="J214" s="35">
        <v>0</v>
      </c>
      <c r="K214" s="41">
        <f t="shared" si="51"/>
        <v>131.6</v>
      </c>
      <c r="L214" s="38">
        <v>0</v>
      </c>
      <c r="M214" s="118">
        <f t="shared" si="52"/>
        <v>131.6</v>
      </c>
      <c r="N214" s="11"/>
      <c r="O214" s="11"/>
      <c r="P214" s="11"/>
      <c r="T214" s="185"/>
      <c r="U214" s="186">
        <f>M214</f>
        <v>131.6</v>
      </c>
      <c r="AC214" s="203"/>
      <c r="AD214" s="188">
        <f t="shared" si="48"/>
        <v>131.6</v>
      </c>
    </row>
    <row r="215" spans="1:30" ht="31.5">
      <c r="A215" s="4"/>
      <c r="B215" s="161" t="s">
        <v>118</v>
      </c>
      <c r="C215" s="63" t="s">
        <v>151</v>
      </c>
      <c r="D215" s="63" t="s">
        <v>14</v>
      </c>
      <c r="E215" s="62" t="s">
        <v>301</v>
      </c>
      <c r="F215" s="63" t="s">
        <v>288</v>
      </c>
      <c r="G215" s="34">
        <v>0</v>
      </c>
      <c r="H215" s="35">
        <v>6.6</v>
      </c>
      <c r="I215" s="36">
        <f t="shared" si="50"/>
        <v>6.6</v>
      </c>
      <c r="J215" s="35">
        <v>0</v>
      </c>
      <c r="K215" s="41">
        <f t="shared" si="51"/>
        <v>6.6</v>
      </c>
      <c r="L215" s="38">
        <v>0</v>
      </c>
      <c r="M215" s="118">
        <f t="shared" si="52"/>
        <v>6.6</v>
      </c>
      <c r="N215" s="11"/>
      <c r="O215" s="11"/>
      <c r="P215" s="11"/>
      <c r="T215" s="185"/>
      <c r="U215" s="186">
        <f>M215</f>
        <v>6.6</v>
      </c>
      <c r="AC215" s="203"/>
      <c r="AD215" s="188">
        <f t="shared" si="48"/>
        <v>6.6</v>
      </c>
    </row>
    <row r="216" spans="1:30" ht="103.5" customHeight="1">
      <c r="A216" s="4"/>
      <c r="B216" s="162" t="s">
        <v>302</v>
      </c>
      <c r="C216" s="63" t="s">
        <v>151</v>
      </c>
      <c r="D216" s="63" t="s">
        <v>14</v>
      </c>
      <c r="E216" s="62" t="s">
        <v>303</v>
      </c>
      <c r="F216" s="63" t="s">
        <v>288</v>
      </c>
      <c r="G216" s="34">
        <v>0</v>
      </c>
      <c r="H216" s="35">
        <f>65.5+15.364</f>
        <v>80.864</v>
      </c>
      <c r="I216" s="36">
        <f t="shared" si="50"/>
        <v>80.864</v>
      </c>
      <c r="J216" s="35">
        <v>0</v>
      </c>
      <c r="K216" s="37">
        <f t="shared" si="51"/>
        <v>80.864</v>
      </c>
      <c r="L216" s="38">
        <v>0</v>
      </c>
      <c r="M216" s="116">
        <f t="shared" si="52"/>
        <v>80.864</v>
      </c>
      <c r="N216" s="11"/>
      <c r="O216" s="11"/>
      <c r="P216" s="11"/>
      <c r="T216" s="185"/>
      <c r="U216" s="191">
        <f>M216</f>
        <v>80.864</v>
      </c>
      <c r="AC216" s="203"/>
      <c r="AD216" s="188">
        <f t="shared" si="48"/>
        <v>80.864</v>
      </c>
    </row>
    <row r="217" spans="1:30" ht="31.5">
      <c r="A217" s="4"/>
      <c r="B217" s="161" t="s">
        <v>118</v>
      </c>
      <c r="C217" s="63" t="s">
        <v>151</v>
      </c>
      <c r="D217" s="63" t="s">
        <v>14</v>
      </c>
      <c r="E217" s="62" t="s">
        <v>303</v>
      </c>
      <c r="F217" s="63" t="s">
        <v>288</v>
      </c>
      <c r="G217" s="34">
        <v>0</v>
      </c>
      <c r="H217" s="35">
        <v>15.364</v>
      </c>
      <c r="I217" s="36">
        <f t="shared" si="50"/>
        <v>15.364</v>
      </c>
      <c r="J217" s="35">
        <v>0</v>
      </c>
      <c r="K217" s="37">
        <f t="shared" si="51"/>
        <v>15.364</v>
      </c>
      <c r="L217" s="38">
        <v>0</v>
      </c>
      <c r="M217" s="116">
        <f t="shared" si="52"/>
        <v>15.364</v>
      </c>
      <c r="N217" s="11"/>
      <c r="O217" s="11"/>
      <c r="P217" s="11"/>
      <c r="T217" s="185"/>
      <c r="U217" s="191">
        <f>M217</f>
        <v>15.364</v>
      </c>
      <c r="AC217" s="203"/>
      <c r="AD217" s="188">
        <f t="shared" si="48"/>
        <v>15.364</v>
      </c>
    </row>
    <row r="218" spans="1:30" ht="113.25" customHeight="1">
      <c r="A218" s="4"/>
      <c r="B218" s="129" t="s">
        <v>304</v>
      </c>
      <c r="C218" s="50" t="s">
        <v>151</v>
      </c>
      <c r="D218" s="50" t="s">
        <v>14</v>
      </c>
      <c r="E218" s="51" t="s">
        <v>305</v>
      </c>
      <c r="F218" s="43"/>
      <c r="G218" s="23">
        <f>G219</f>
        <v>11093.9</v>
      </c>
      <c r="H218" s="105"/>
      <c r="I218" s="106">
        <f aca="true" t="shared" si="53" ref="I218:M219">I219</f>
        <v>11093.9</v>
      </c>
      <c r="J218" s="105">
        <f t="shared" si="53"/>
        <v>-0.9</v>
      </c>
      <c r="K218" s="27">
        <f t="shared" si="53"/>
        <v>11093</v>
      </c>
      <c r="L218" s="107">
        <f t="shared" si="53"/>
        <v>0</v>
      </c>
      <c r="M218" s="113">
        <f t="shared" si="53"/>
        <v>11093</v>
      </c>
      <c r="N218" s="11"/>
      <c r="O218" s="11"/>
      <c r="P218" s="11"/>
      <c r="T218" s="185"/>
      <c r="U218" s="189">
        <f>U219</f>
        <v>11093</v>
      </c>
      <c r="AC218" s="203"/>
      <c r="AD218" s="188">
        <f t="shared" si="48"/>
        <v>11093</v>
      </c>
    </row>
    <row r="219" spans="1:30" ht="68.25" customHeight="1">
      <c r="A219" s="4"/>
      <c r="B219" s="124" t="s">
        <v>306</v>
      </c>
      <c r="C219" s="43" t="s">
        <v>151</v>
      </c>
      <c r="D219" s="43" t="s">
        <v>14</v>
      </c>
      <c r="E219" s="44" t="s">
        <v>307</v>
      </c>
      <c r="F219" s="43"/>
      <c r="G219" s="34">
        <f>G220</f>
        <v>11093.9</v>
      </c>
      <c r="H219" s="35"/>
      <c r="I219" s="36">
        <f t="shared" si="53"/>
        <v>11093.9</v>
      </c>
      <c r="J219" s="35">
        <f t="shared" si="53"/>
        <v>-0.9</v>
      </c>
      <c r="K219" s="41">
        <f t="shared" si="53"/>
        <v>11093</v>
      </c>
      <c r="L219" s="38">
        <f t="shared" si="53"/>
        <v>0</v>
      </c>
      <c r="M219" s="118">
        <f t="shared" si="53"/>
        <v>11093</v>
      </c>
      <c r="N219" s="11"/>
      <c r="O219" s="11"/>
      <c r="P219" s="11"/>
      <c r="T219" s="185"/>
      <c r="U219" s="186">
        <f>U220</f>
        <v>11093</v>
      </c>
      <c r="AC219" s="203"/>
      <c r="AD219" s="188">
        <f t="shared" si="48"/>
        <v>11093</v>
      </c>
    </row>
    <row r="220" spans="1:30" ht="132" customHeight="1">
      <c r="A220" s="4"/>
      <c r="B220" s="126" t="s">
        <v>308</v>
      </c>
      <c r="C220" s="43" t="s">
        <v>151</v>
      </c>
      <c r="D220" s="43" t="s">
        <v>14</v>
      </c>
      <c r="E220" s="62" t="s">
        <v>309</v>
      </c>
      <c r="F220" s="43" t="s">
        <v>288</v>
      </c>
      <c r="G220" s="34">
        <f>11093+0.9</f>
        <v>11093.9</v>
      </c>
      <c r="H220" s="35"/>
      <c r="I220" s="36">
        <f>11093+0.9</f>
        <v>11093.9</v>
      </c>
      <c r="J220" s="35">
        <f>0-0.9</f>
        <v>-0.9</v>
      </c>
      <c r="K220" s="41">
        <f>11093+0.9-0.9</f>
        <v>11093</v>
      </c>
      <c r="L220" s="38">
        <v>0</v>
      </c>
      <c r="M220" s="118">
        <f>11093+0.9-0.9</f>
        <v>11093</v>
      </c>
      <c r="N220" s="11"/>
      <c r="O220" s="11"/>
      <c r="P220" s="11"/>
      <c r="T220" s="185"/>
      <c r="U220" s="186">
        <f>11093+0.9-0.9</f>
        <v>11093</v>
      </c>
      <c r="AC220" s="203"/>
      <c r="AD220" s="188">
        <f t="shared" si="48"/>
        <v>11093</v>
      </c>
    </row>
    <row r="221" spans="1:30" ht="27.75" customHeight="1">
      <c r="A221" s="4"/>
      <c r="B221" s="163" t="s">
        <v>118</v>
      </c>
      <c r="C221" s="72" t="s">
        <v>151</v>
      </c>
      <c r="D221" s="52" t="s">
        <v>14</v>
      </c>
      <c r="E221" s="99" t="s">
        <v>309</v>
      </c>
      <c r="F221" s="43" t="s">
        <v>288</v>
      </c>
      <c r="G221" s="34">
        <f>2107.7+0.9</f>
        <v>2108.6</v>
      </c>
      <c r="H221" s="35"/>
      <c r="I221" s="36">
        <f>2107.7+0.9</f>
        <v>2108.6</v>
      </c>
      <c r="J221" s="35">
        <v>-0.9</v>
      </c>
      <c r="K221" s="41">
        <f>2107.7+0.9-0.9</f>
        <v>2107.7</v>
      </c>
      <c r="L221" s="38">
        <v>0</v>
      </c>
      <c r="M221" s="118">
        <f>2107.7+0.9-0.9</f>
        <v>2107.7</v>
      </c>
      <c r="N221" s="11"/>
      <c r="O221" s="11"/>
      <c r="P221" s="11"/>
      <c r="T221" s="185"/>
      <c r="U221" s="186">
        <f>2107.7+0.9-0.9</f>
        <v>2107.7</v>
      </c>
      <c r="AC221" s="203"/>
      <c r="AD221" s="188">
        <f t="shared" si="48"/>
        <v>2107.7</v>
      </c>
    </row>
    <row r="222" spans="1:30" ht="102" customHeight="1">
      <c r="A222" s="4"/>
      <c r="B222" s="144" t="s">
        <v>310</v>
      </c>
      <c r="C222" s="50" t="s">
        <v>151</v>
      </c>
      <c r="D222" s="50" t="s">
        <v>14</v>
      </c>
      <c r="E222" s="80" t="s">
        <v>311</v>
      </c>
      <c r="F222" s="50"/>
      <c r="G222" s="31">
        <f>G223</f>
        <v>61</v>
      </c>
      <c r="H222" s="105"/>
      <c r="I222" s="106">
        <f>I223</f>
        <v>61</v>
      </c>
      <c r="J222" s="105"/>
      <c r="K222" s="27">
        <f>K223</f>
        <v>61</v>
      </c>
      <c r="L222" s="107"/>
      <c r="M222" s="113">
        <f>M223</f>
        <v>61</v>
      </c>
      <c r="N222" s="11"/>
      <c r="O222" s="11"/>
      <c r="P222" s="11"/>
      <c r="T222" s="185"/>
      <c r="U222" s="189">
        <f>U223</f>
        <v>61</v>
      </c>
      <c r="AC222" s="203"/>
      <c r="AD222" s="188">
        <f t="shared" si="48"/>
        <v>61</v>
      </c>
    </row>
    <row r="223" spans="1:30" ht="48.75" customHeight="1">
      <c r="A223" s="4"/>
      <c r="B223" s="126" t="s">
        <v>312</v>
      </c>
      <c r="C223" s="43" t="s">
        <v>151</v>
      </c>
      <c r="D223" s="43" t="s">
        <v>14</v>
      </c>
      <c r="E223" s="62" t="s">
        <v>313</v>
      </c>
      <c r="F223" s="43"/>
      <c r="G223" s="39">
        <f>G224</f>
        <v>61</v>
      </c>
      <c r="H223" s="35"/>
      <c r="I223" s="36">
        <f>I224</f>
        <v>61</v>
      </c>
      <c r="J223" s="35"/>
      <c r="K223" s="41">
        <f>K224</f>
        <v>61</v>
      </c>
      <c r="L223" s="38"/>
      <c r="M223" s="118">
        <f>M224</f>
        <v>61</v>
      </c>
      <c r="N223" s="11"/>
      <c r="O223" s="11"/>
      <c r="P223" s="11"/>
      <c r="T223" s="185"/>
      <c r="U223" s="186">
        <f>U224</f>
        <v>61</v>
      </c>
      <c r="AC223" s="203"/>
      <c r="AD223" s="188">
        <f t="shared" si="48"/>
        <v>61</v>
      </c>
    </row>
    <row r="224" spans="1:30" ht="134.25" customHeight="1">
      <c r="A224" s="4"/>
      <c r="B224" s="126" t="s">
        <v>314</v>
      </c>
      <c r="C224" s="43" t="s">
        <v>151</v>
      </c>
      <c r="D224" s="43" t="s">
        <v>14</v>
      </c>
      <c r="E224" s="62" t="s">
        <v>315</v>
      </c>
      <c r="F224" s="43" t="s">
        <v>288</v>
      </c>
      <c r="G224" s="39">
        <v>61</v>
      </c>
      <c r="H224" s="35"/>
      <c r="I224" s="36">
        <v>61</v>
      </c>
      <c r="J224" s="35"/>
      <c r="K224" s="41">
        <v>61</v>
      </c>
      <c r="L224" s="38"/>
      <c r="M224" s="118">
        <v>61</v>
      </c>
      <c r="N224" s="11"/>
      <c r="O224" s="11"/>
      <c r="P224" s="11"/>
      <c r="T224" s="185"/>
      <c r="U224" s="186">
        <v>61</v>
      </c>
      <c r="AC224" s="203"/>
      <c r="AD224" s="188">
        <f t="shared" si="48"/>
        <v>61</v>
      </c>
    </row>
    <row r="225" spans="1:30" ht="15" customHeight="1">
      <c r="A225" s="4"/>
      <c r="B225" s="112" t="s">
        <v>316</v>
      </c>
      <c r="C225" s="50" t="s">
        <v>87</v>
      </c>
      <c r="D225" s="50"/>
      <c r="E225" s="44"/>
      <c r="F225" s="43"/>
      <c r="G225" s="31" t="e">
        <f aca="true" t="shared" si="54" ref="G225:M225">G226+G230+G236</f>
        <v>#REF!</v>
      </c>
      <c r="H225" s="105">
        <f t="shared" si="54"/>
        <v>85.6</v>
      </c>
      <c r="I225" s="106" t="e">
        <f t="shared" si="54"/>
        <v>#REF!</v>
      </c>
      <c r="J225" s="105">
        <f t="shared" si="54"/>
        <v>-197.84526</v>
      </c>
      <c r="K225" s="107" t="e">
        <f t="shared" si="54"/>
        <v>#REF!</v>
      </c>
      <c r="L225" s="107">
        <f t="shared" si="54"/>
        <v>65.67795</v>
      </c>
      <c r="M225" s="111">
        <f t="shared" si="54"/>
        <v>1969.1326900000001</v>
      </c>
      <c r="N225" s="11"/>
      <c r="O225" s="11"/>
      <c r="P225" s="11"/>
      <c r="T225" s="185"/>
      <c r="U225" s="188">
        <f>U226+U230+U236</f>
        <v>1969.1326900000001</v>
      </c>
      <c r="AC225" s="203"/>
      <c r="AD225" s="188">
        <f t="shared" si="48"/>
        <v>1969.1326900000001</v>
      </c>
    </row>
    <row r="226" spans="1:30" ht="20.25" customHeight="1">
      <c r="A226" s="4"/>
      <c r="B226" s="112" t="s">
        <v>317</v>
      </c>
      <c r="C226" s="50" t="s">
        <v>87</v>
      </c>
      <c r="D226" s="50" t="s">
        <v>14</v>
      </c>
      <c r="E226" s="51"/>
      <c r="F226" s="50"/>
      <c r="G226" s="105">
        <f aca="true" t="shared" si="55" ref="G226:M226">G228</f>
        <v>686.8736799999999</v>
      </c>
      <c r="H226" s="105">
        <f t="shared" si="55"/>
        <v>40</v>
      </c>
      <c r="I226" s="106">
        <f t="shared" si="55"/>
        <v>726.8736799999999</v>
      </c>
      <c r="J226" s="105">
        <f t="shared" si="55"/>
        <v>0</v>
      </c>
      <c r="K226" s="107">
        <f t="shared" si="55"/>
        <v>726.8736799999999</v>
      </c>
      <c r="L226" s="107">
        <f t="shared" si="55"/>
        <v>65.7665</v>
      </c>
      <c r="M226" s="111">
        <f t="shared" si="55"/>
        <v>792.6401799999999</v>
      </c>
      <c r="N226" s="11"/>
      <c r="O226" s="11"/>
      <c r="P226" s="11"/>
      <c r="T226" s="185"/>
      <c r="U226" s="188">
        <f>U228</f>
        <v>792.6401799999999</v>
      </c>
      <c r="AC226" s="203"/>
      <c r="AD226" s="188">
        <f t="shared" si="48"/>
        <v>792.6401799999999</v>
      </c>
    </row>
    <row r="227" spans="1:30" ht="67.5" customHeight="1">
      <c r="A227" s="4"/>
      <c r="B227" s="112" t="s">
        <v>50</v>
      </c>
      <c r="C227" s="50" t="s">
        <v>87</v>
      </c>
      <c r="D227" s="50" t="s">
        <v>14</v>
      </c>
      <c r="E227" s="51" t="s">
        <v>14</v>
      </c>
      <c r="F227" s="43"/>
      <c r="G227" s="105">
        <f aca="true" t="shared" si="56" ref="G227:M228">G228</f>
        <v>686.8736799999999</v>
      </c>
      <c r="H227" s="105">
        <f t="shared" si="56"/>
        <v>40</v>
      </c>
      <c r="I227" s="106">
        <f t="shared" si="56"/>
        <v>726.8736799999999</v>
      </c>
      <c r="J227" s="105">
        <f t="shared" si="56"/>
        <v>0</v>
      </c>
      <c r="K227" s="107">
        <f t="shared" si="56"/>
        <v>726.8736799999999</v>
      </c>
      <c r="L227" s="107">
        <f t="shared" si="56"/>
        <v>65.7665</v>
      </c>
      <c r="M227" s="111">
        <f t="shared" si="56"/>
        <v>792.6401799999999</v>
      </c>
      <c r="N227" s="11"/>
      <c r="O227" s="11"/>
      <c r="P227" s="11"/>
      <c r="T227" s="185"/>
      <c r="U227" s="188">
        <f>U228</f>
        <v>792.6401799999999</v>
      </c>
      <c r="AC227" s="203"/>
      <c r="AD227" s="188">
        <f t="shared" si="48"/>
        <v>792.6401799999999</v>
      </c>
    </row>
    <row r="228" spans="1:30" ht="36" customHeight="1">
      <c r="A228" s="4"/>
      <c r="B228" s="124" t="s">
        <v>318</v>
      </c>
      <c r="C228" s="43" t="s">
        <v>87</v>
      </c>
      <c r="D228" s="43" t="s">
        <v>14</v>
      </c>
      <c r="E228" s="44" t="s">
        <v>319</v>
      </c>
      <c r="F228" s="43"/>
      <c r="G228" s="35">
        <f t="shared" si="56"/>
        <v>686.8736799999999</v>
      </c>
      <c r="H228" s="35">
        <f t="shared" si="56"/>
        <v>40</v>
      </c>
      <c r="I228" s="36">
        <f t="shared" si="56"/>
        <v>726.8736799999999</v>
      </c>
      <c r="J228" s="35">
        <f t="shared" si="56"/>
        <v>0</v>
      </c>
      <c r="K228" s="38">
        <f t="shared" si="56"/>
        <v>726.8736799999999</v>
      </c>
      <c r="L228" s="38">
        <f t="shared" si="56"/>
        <v>65.7665</v>
      </c>
      <c r="M228" s="136">
        <f t="shared" si="56"/>
        <v>792.6401799999999</v>
      </c>
      <c r="N228" s="11"/>
      <c r="O228" s="11"/>
      <c r="P228" s="11"/>
      <c r="T228" s="185"/>
      <c r="U228" s="192">
        <f>U229</f>
        <v>792.6401799999999</v>
      </c>
      <c r="AC228" s="203"/>
      <c r="AD228" s="188">
        <f t="shared" si="48"/>
        <v>792.6401799999999</v>
      </c>
    </row>
    <row r="229" spans="1:30" ht="50.25" customHeight="1">
      <c r="A229" s="4"/>
      <c r="B229" s="124" t="s">
        <v>320</v>
      </c>
      <c r="C229" s="43" t="s">
        <v>87</v>
      </c>
      <c r="D229" s="43" t="s">
        <v>14</v>
      </c>
      <c r="E229" s="44" t="s">
        <v>321</v>
      </c>
      <c r="F229" s="43" t="s">
        <v>322</v>
      </c>
      <c r="G229" s="35">
        <f>657.1+0.3+30.07368-0.6</f>
        <v>686.8736799999999</v>
      </c>
      <c r="H229" s="35">
        <v>40</v>
      </c>
      <c r="I229" s="36">
        <f>657.1+0.3+30.07368-0.6+40</f>
        <v>726.8736799999999</v>
      </c>
      <c r="J229" s="35">
        <v>0</v>
      </c>
      <c r="K229" s="38">
        <f>657.1+0.3+30.07368-0.6+40</f>
        <v>726.8736799999999</v>
      </c>
      <c r="L229" s="38">
        <v>65.7665</v>
      </c>
      <c r="M229" s="136">
        <f>657.1+0.3+30.07368-0.6+40+65.7665</f>
        <v>792.6401799999999</v>
      </c>
      <c r="N229" s="11"/>
      <c r="O229" s="11"/>
      <c r="P229" s="11"/>
      <c r="T229" s="185"/>
      <c r="U229" s="192">
        <f>657.1+0.3+30.07368-0.6+40+65.7665</f>
        <v>792.6401799999999</v>
      </c>
      <c r="AC229" s="203"/>
      <c r="AD229" s="188">
        <f t="shared" si="48"/>
        <v>792.6401799999999</v>
      </c>
    </row>
    <row r="230" spans="1:30" ht="22.5" customHeight="1">
      <c r="A230" s="4"/>
      <c r="B230" s="112" t="s">
        <v>323</v>
      </c>
      <c r="C230" s="50" t="s">
        <v>87</v>
      </c>
      <c r="D230" s="50" t="s">
        <v>25</v>
      </c>
      <c r="E230" s="51"/>
      <c r="F230" s="50"/>
      <c r="G230" s="105" t="e">
        <f>G232</f>
        <v>#REF!</v>
      </c>
      <c r="H230" s="105"/>
      <c r="I230" s="106" t="e">
        <f>I232</f>
        <v>#REF!</v>
      </c>
      <c r="J230" s="105">
        <f>J231</f>
        <v>-197.84526</v>
      </c>
      <c r="K230" s="107" t="e">
        <f>K232</f>
        <v>#REF!</v>
      </c>
      <c r="L230" s="107">
        <f>L231</f>
        <v>0</v>
      </c>
      <c r="M230" s="111">
        <f>M232</f>
        <v>556.2810600000001</v>
      </c>
      <c r="N230" s="11"/>
      <c r="O230" s="11"/>
      <c r="P230" s="11"/>
      <c r="T230" s="185"/>
      <c r="U230" s="188">
        <f>U232</f>
        <v>556.2810600000001</v>
      </c>
      <c r="AC230" s="203"/>
      <c r="AD230" s="188">
        <f t="shared" si="48"/>
        <v>556.2810600000001</v>
      </c>
    </row>
    <row r="231" spans="1:30" ht="18.75" customHeight="1">
      <c r="A231" s="4"/>
      <c r="B231" s="126" t="s">
        <v>31</v>
      </c>
      <c r="C231" s="43" t="s">
        <v>87</v>
      </c>
      <c r="D231" s="43" t="s">
        <v>25</v>
      </c>
      <c r="E231" s="44" t="s">
        <v>18</v>
      </c>
      <c r="F231" s="43"/>
      <c r="G231" s="105" t="e">
        <f>G232</f>
        <v>#REF!</v>
      </c>
      <c r="H231" s="105"/>
      <c r="I231" s="106" t="e">
        <f>I232</f>
        <v>#REF!</v>
      </c>
      <c r="J231" s="105">
        <f>J232</f>
        <v>-197.84526</v>
      </c>
      <c r="K231" s="107" t="e">
        <f>K232</f>
        <v>#REF!</v>
      </c>
      <c r="L231" s="107">
        <f>L232</f>
        <v>0</v>
      </c>
      <c r="M231" s="111">
        <f>M232</f>
        <v>556.2810600000001</v>
      </c>
      <c r="N231" s="11"/>
      <c r="O231" s="11"/>
      <c r="P231" s="11"/>
      <c r="T231" s="185"/>
      <c r="U231" s="188">
        <f>U232</f>
        <v>556.2810600000001</v>
      </c>
      <c r="AC231" s="203"/>
      <c r="AD231" s="188">
        <f t="shared" si="48"/>
        <v>556.2810600000001</v>
      </c>
    </row>
    <row r="232" spans="1:30" ht="21.75" customHeight="1">
      <c r="A232" s="4"/>
      <c r="B232" s="126" t="s">
        <v>19</v>
      </c>
      <c r="C232" s="43" t="s">
        <v>87</v>
      </c>
      <c r="D232" s="43" t="s">
        <v>25</v>
      </c>
      <c r="E232" s="44" t="s">
        <v>33</v>
      </c>
      <c r="F232" s="43"/>
      <c r="G232" s="35" t="e">
        <f>G233+G234+#REF!</f>
        <v>#REF!</v>
      </c>
      <c r="H232" s="35"/>
      <c r="I232" s="36" t="e">
        <f>I233+I234+#REF!</f>
        <v>#REF!</v>
      </c>
      <c r="J232" s="35">
        <f>J233+J234</f>
        <v>-197.84526</v>
      </c>
      <c r="K232" s="38" t="e">
        <f>K233+K234+#REF!</f>
        <v>#REF!</v>
      </c>
      <c r="L232" s="38">
        <f>L233+L234</f>
        <v>0</v>
      </c>
      <c r="M232" s="136">
        <f>M233+M234</f>
        <v>556.2810600000001</v>
      </c>
      <c r="N232" s="11"/>
      <c r="O232" s="11"/>
      <c r="P232" s="11"/>
      <c r="T232" s="185"/>
      <c r="U232" s="192">
        <f>U233+U234</f>
        <v>556.2810600000001</v>
      </c>
      <c r="AC232" s="203"/>
      <c r="AD232" s="188">
        <f t="shared" si="48"/>
        <v>556.2810600000001</v>
      </c>
    </row>
    <row r="233" spans="1:30" ht="52.5" customHeight="1">
      <c r="A233" s="4"/>
      <c r="B233" s="115" t="s">
        <v>324</v>
      </c>
      <c r="C233" s="43" t="s">
        <v>87</v>
      </c>
      <c r="D233" s="43" t="s">
        <v>25</v>
      </c>
      <c r="E233" s="44" t="s">
        <v>325</v>
      </c>
      <c r="F233" s="43" t="s">
        <v>96</v>
      </c>
      <c r="G233" s="34">
        <f>754.2-0.6</f>
        <v>753.6</v>
      </c>
      <c r="H233" s="35"/>
      <c r="I233" s="36">
        <f>754.2-0.6</f>
        <v>753.6</v>
      </c>
      <c r="J233" s="35">
        <f>-197.94</f>
        <v>-197.94</v>
      </c>
      <c r="K233" s="41">
        <f>754.2-0.6-197.94</f>
        <v>555.6600000000001</v>
      </c>
      <c r="L233" s="38">
        <v>0</v>
      </c>
      <c r="M233" s="118">
        <f>754.2-0.6-197.94</f>
        <v>555.6600000000001</v>
      </c>
      <c r="N233" s="11"/>
      <c r="O233" s="11"/>
      <c r="P233" s="11"/>
      <c r="T233" s="185"/>
      <c r="U233" s="186">
        <f>754.2-0.6-197.94</f>
        <v>555.6600000000001</v>
      </c>
      <c r="AC233" s="203"/>
      <c r="AD233" s="188">
        <f t="shared" si="48"/>
        <v>555.6600000000001</v>
      </c>
    </row>
    <row r="234" spans="1:30" ht="117" customHeight="1">
      <c r="A234" s="4"/>
      <c r="B234" s="115" t="s">
        <v>326</v>
      </c>
      <c r="C234" s="43" t="s">
        <v>87</v>
      </c>
      <c r="D234" s="43" t="s">
        <v>25</v>
      </c>
      <c r="E234" s="44" t="s">
        <v>327</v>
      </c>
      <c r="F234" s="43" t="s">
        <v>322</v>
      </c>
      <c r="G234" s="35">
        <f>0.5+0.02632</f>
        <v>0.52632</v>
      </c>
      <c r="H234" s="35"/>
      <c r="I234" s="36">
        <f>0.5+0.02632</f>
        <v>0.52632</v>
      </c>
      <c r="J234" s="35">
        <f>94.74/1000</f>
        <v>0.09473999999999999</v>
      </c>
      <c r="K234" s="38">
        <f>0.5+0.02632+0.09474</f>
        <v>0.6210600000000001</v>
      </c>
      <c r="L234" s="38">
        <v>0</v>
      </c>
      <c r="M234" s="136">
        <f>0.5+0.02632+0.09474</f>
        <v>0.6210600000000001</v>
      </c>
      <c r="N234" s="11"/>
      <c r="O234" s="11"/>
      <c r="P234" s="11"/>
      <c r="T234" s="185"/>
      <c r="U234" s="192">
        <f>0.5+0.02632+0.09474</f>
        <v>0.6210600000000001</v>
      </c>
      <c r="AC234" s="203"/>
      <c r="AD234" s="188">
        <f t="shared" si="48"/>
        <v>0.6210600000000001</v>
      </c>
    </row>
    <row r="235" spans="1:30" ht="33" customHeight="1">
      <c r="A235" s="4"/>
      <c r="B235" s="164" t="s">
        <v>118</v>
      </c>
      <c r="C235" s="43" t="s">
        <v>87</v>
      </c>
      <c r="D235" s="43" t="s">
        <v>25</v>
      </c>
      <c r="E235" s="44" t="s">
        <v>327</v>
      </c>
      <c r="F235" s="43" t="s">
        <v>322</v>
      </c>
      <c r="G235" s="35">
        <v>0.02632</v>
      </c>
      <c r="H235" s="35"/>
      <c r="I235" s="36">
        <v>0.02632</v>
      </c>
      <c r="J235" s="35">
        <f>4.74/1000</f>
        <v>0.00474</v>
      </c>
      <c r="K235" s="38">
        <f>0.02632+0.00474</f>
        <v>0.03106</v>
      </c>
      <c r="L235" s="38">
        <v>0</v>
      </c>
      <c r="M235" s="136">
        <f>0.02632+0.00474</f>
        <v>0.03106</v>
      </c>
      <c r="N235" s="11"/>
      <c r="O235" s="11"/>
      <c r="P235" s="11"/>
      <c r="T235" s="185"/>
      <c r="U235" s="192">
        <f>0.02632+0.00474</f>
        <v>0.03106</v>
      </c>
      <c r="AC235" s="203"/>
      <c r="AD235" s="188">
        <f t="shared" si="48"/>
        <v>0.03106</v>
      </c>
    </row>
    <row r="236" spans="1:30" ht="21.75" customHeight="1">
      <c r="A236" s="4"/>
      <c r="B236" s="165" t="s">
        <v>328</v>
      </c>
      <c r="C236" s="98" t="s">
        <v>87</v>
      </c>
      <c r="D236" s="50" t="s">
        <v>30</v>
      </c>
      <c r="E236" s="51"/>
      <c r="F236" s="50"/>
      <c r="G236" s="23">
        <f aca="true" t="shared" si="57" ref="G236:M238">G237</f>
        <v>574.7</v>
      </c>
      <c r="H236" s="105">
        <f t="shared" si="57"/>
        <v>45.6</v>
      </c>
      <c r="I236" s="106">
        <f t="shared" si="57"/>
        <v>620.3000000000001</v>
      </c>
      <c r="J236" s="105">
        <f t="shared" si="57"/>
        <v>0</v>
      </c>
      <c r="K236" s="27">
        <f t="shared" si="57"/>
        <v>620.3000000000001</v>
      </c>
      <c r="L236" s="107">
        <f t="shared" si="57"/>
        <v>-0.08855</v>
      </c>
      <c r="M236" s="111">
        <f t="shared" si="57"/>
        <v>620.21145</v>
      </c>
      <c r="N236" s="11"/>
      <c r="O236" s="11"/>
      <c r="P236" s="11"/>
      <c r="T236" s="185"/>
      <c r="U236" s="188">
        <f>U237</f>
        <v>620.21145</v>
      </c>
      <c r="AC236" s="203"/>
      <c r="AD236" s="188">
        <f t="shared" si="48"/>
        <v>620.21145</v>
      </c>
    </row>
    <row r="237" spans="1:30" ht="69.75" customHeight="1">
      <c r="A237" s="4"/>
      <c r="B237" s="120" t="s">
        <v>329</v>
      </c>
      <c r="C237" s="98" t="s">
        <v>87</v>
      </c>
      <c r="D237" s="50" t="s">
        <v>30</v>
      </c>
      <c r="E237" s="51" t="s">
        <v>330</v>
      </c>
      <c r="F237" s="43"/>
      <c r="G237" s="23">
        <f t="shared" si="57"/>
        <v>574.7</v>
      </c>
      <c r="H237" s="105">
        <f t="shared" si="57"/>
        <v>45.6</v>
      </c>
      <c r="I237" s="106">
        <f t="shared" si="57"/>
        <v>620.3000000000001</v>
      </c>
      <c r="J237" s="105">
        <f t="shared" si="57"/>
        <v>0</v>
      </c>
      <c r="K237" s="27">
        <f t="shared" si="57"/>
        <v>620.3000000000001</v>
      </c>
      <c r="L237" s="107">
        <f t="shared" si="57"/>
        <v>-0.08855</v>
      </c>
      <c r="M237" s="111">
        <f t="shared" si="57"/>
        <v>620.21145</v>
      </c>
      <c r="N237" s="11" t="s">
        <v>331</v>
      </c>
      <c r="O237" s="11"/>
      <c r="P237" s="11"/>
      <c r="T237" s="185"/>
      <c r="U237" s="188">
        <f>U238</f>
        <v>620.21145</v>
      </c>
      <c r="AC237" s="203"/>
      <c r="AD237" s="188">
        <f t="shared" si="48"/>
        <v>620.21145</v>
      </c>
    </row>
    <row r="238" spans="1:30" ht="40.5" customHeight="1">
      <c r="A238" s="4"/>
      <c r="B238" s="115" t="s">
        <v>332</v>
      </c>
      <c r="C238" s="67" t="s">
        <v>87</v>
      </c>
      <c r="D238" s="43" t="s">
        <v>30</v>
      </c>
      <c r="E238" s="44" t="s">
        <v>333</v>
      </c>
      <c r="F238" s="43"/>
      <c r="G238" s="34">
        <f t="shared" si="57"/>
        <v>574.7</v>
      </c>
      <c r="H238" s="35">
        <f t="shared" si="57"/>
        <v>45.6</v>
      </c>
      <c r="I238" s="36">
        <f t="shared" si="57"/>
        <v>620.3000000000001</v>
      </c>
      <c r="J238" s="35">
        <f t="shared" si="57"/>
        <v>0</v>
      </c>
      <c r="K238" s="41">
        <f t="shared" si="57"/>
        <v>620.3000000000001</v>
      </c>
      <c r="L238" s="38">
        <f t="shared" si="57"/>
        <v>-0.08855</v>
      </c>
      <c r="M238" s="136">
        <f t="shared" si="57"/>
        <v>620.21145</v>
      </c>
      <c r="N238" s="11"/>
      <c r="O238" s="11"/>
      <c r="P238" s="11"/>
      <c r="T238" s="185"/>
      <c r="U238" s="192">
        <f>U239</f>
        <v>620.21145</v>
      </c>
      <c r="AC238" s="203"/>
      <c r="AD238" s="188">
        <f t="shared" si="48"/>
        <v>620.21145</v>
      </c>
    </row>
    <row r="239" spans="1:30" ht="53.25" customHeight="1">
      <c r="A239" s="4"/>
      <c r="B239" s="126" t="s">
        <v>334</v>
      </c>
      <c r="C239" s="67" t="s">
        <v>87</v>
      </c>
      <c r="D239" s="43" t="s">
        <v>30</v>
      </c>
      <c r="E239" s="44" t="s">
        <v>335</v>
      </c>
      <c r="F239" s="43" t="s">
        <v>96</v>
      </c>
      <c r="G239" s="34">
        <v>574.7</v>
      </c>
      <c r="H239" s="35">
        <v>45.6</v>
      </c>
      <c r="I239" s="36">
        <f>574.7+45.6</f>
        <v>620.3000000000001</v>
      </c>
      <c r="J239" s="35">
        <v>0</v>
      </c>
      <c r="K239" s="41">
        <f>574.7+45.6</f>
        <v>620.3000000000001</v>
      </c>
      <c r="L239" s="38">
        <v>-0.08855</v>
      </c>
      <c r="M239" s="136">
        <f>574.7+45.6-0.08855</f>
        <v>620.21145</v>
      </c>
      <c r="N239" s="11"/>
      <c r="O239" s="11"/>
      <c r="P239" s="11"/>
      <c r="T239" s="185"/>
      <c r="U239" s="192">
        <f>574.7+45.6-0.08855</f>
        <v>620.21145</v>
      </c>
      <c r="AC239" s="203"/>
      <c r="AD239" s="188">
        <f t="shared" si="48"/>
        <v>620.21145</v>
      </c>
    </row>
    <row r="240" spans="1:30" ht="24" customHeight="1">
      <c r="A240" s="4"/>
      <c r="B240" s="144" t="s">
        <v>336</v>
      </c>
      <c r="C240" s="50" t="s">
        <v>44</v>
      </c>
      <c r="D240" s="50"/>
      <c r="E240" s="44"/>
      <c r="F240" s="43"/>
      <c r="G240" s="23" t="e">
        <f>G242</f>
        <v>#REF!</v>
      </c>
      <c r="H240" s="105">
        <f>H242+H247</f>
        <v>13226.06624</v>
      </c>
      <c r="I240" s="106" t="e">
        <f>G240+H240</f>
        <v>#REF!</v>
      </c>
      <c r="J240" s="105">
        <f>J241</f>
        <v>253.2</v>
      </c>
      <c r="K240" s="107" t="e">
        <f>I240+J240</f>
        <v>#REF!</v>
      </c>
      <c r="L240" s="107">
        <f>L241</f>
        <v>0</v>
      </c>
      <c r="M240" s="111">
        <f>M241+M247</f>
        <v>25070.866240000003</v>
      </c>
      <c r="N240" s="11"/>
      <c r="O240" s="11"/>
      <c r="P240" s="11"/>
      <c r="T240" s="185">
        <f>T241+T247</f>
        <v>-21.6</v>
      </c>
      <c r="U240" s="188">
        <f>U241+U247</f>
        <v>25049.26624</v>
      </c>
      <c r="AC240" s="203"/>
      <c r="AD240" s="188">
        <f t="shared" si="48"/>
        <v>25049.26624</v>
      </c>
    </row>
    <row r="241" spans="1:30" ht="21.75" customHeight="1">
      <c r="A241" s="4"/>
      <c r="B241" s="112" t="s">
        <v>337</v>
      </c>
      <c r="C241" s="50" t="s">
        <v>44</v>
      </c>
      <c r="D241" s="50" t="s">
        <v>14</v>
      </c>
      <c r="E241" s="51"/>
      <c r="F241" s="50"/>
      <c r="G241" s="23" t="e">
        <f>G242</f>
        <v>#REF!</v>
      </c>
      <c r="H241" s="105">
        <f>H242</f>
        <v>284.76</v>
      </c>
      <c r="I241" s="106">
        <f>I242</f>
        <v>9912.86</v>
      </c>
      <c r="J241" s="105">
        <f>J242</f>
        <v>253.2</v>
      </c>
      <c r="K241" s="27">
        <f>K242</f>
        <v>10166.060000000001</v>
      </c>
      <c r="L241" s="107">
        <f>L242</f>
        <v>0</v>
      </c>
      <c r="M241" s="113">
        <f>M242+M245</f>
        <v>12129.560000000001</v>
      </c>
      <c r="N241" s="11"/>
      <c r="O241" s="11"/>
      <c r="P241" s="11"/>
      <c r="T241" s="185"/>
      <c r="U241" s="188">
        <f>U242</f>
        <v>12129.560000000001</v>
      </c>
      <c r="AC241" s="203"/>
      <c r="AD241" s="188">
        <f t="shared" si="48"/>
        <v>12129.560000000001</v>
      </c>
    </row>
    <row r="242" spans="1:30" ht="101.25" customHeight="1">
      <c r="A242" s="4"/>
      <c r="B242" s="120" t="s">
        <v>338</v>
      </c>
      <c r="C242" s="50" t="s">
        <v>44</v>
      </c>
      <c r="D242" s="50" t="s">
        <v>14</v>
      </c>
      <c r="E242" s="51" t="s">
        <v>339</v>
      </c>
      <c r="F242" s="50"/>
      <c r="G242" s="23" t="e">
        <f>G243+#REF!</f>
        <v>#REF!</v>
      </c>
      <c r="H242" s="105">
        <f>H243</f>
        <v>284.76</v>
      </c>
      <c r="I242" s="176">
        <f>I243</f>
        <v>9912.86</v>
      </c>
      <c r="J242" s="176">
        <f>J243</f>
        <v>253.2</v>
      </c>
      <c r="K242" s="176">
        <f>K243</f>
        <v>10166.060000000001</v>
      </c>
      <c r="L242" s="176">
        <f>L243</f>
        <v>0</v>
      </c>
      <c r="M242" s="176">
        <f>M243</f>
        <v>10166.060000000001</v>
      </c>
      <c r="N242" s="11"/>
      <c r="O242" s="11"/>
      <c r="P242" s="11"/>
      <c r="T242" s="185"/>
      <c r="U242" s="188">
        <f>U243+U245</f>
        <v>12129.560000000001</v>
      </c>
      <c r="AC242" s="203"/>
      <c r="AD242" s="188">
        <f t="shared" si="48"/>
        <v>12129.560000000001</v>
      </c>
    </row>
    <row r="243" spans="1:30" ht="39.75" customHeight="1">
      <c r="A243" s="4"/>
      <c r="B243" s="157" t="s">
        <v>340</v>
      </c>
      <c r="C243" s="48" t="s">
        <v>44</v>
      </c>
      <c r="D243" s="48" t="s">
        <v>14</v>
      </c>
      <c r="E243" s="49" t="s">
        <v>341</v>
      </c>
      <c r="F243" s="43"/>
      <c r="G243" s="34">
        <f aca="true" t="shared" si="58" ref="G243:M243">G244</f>
        <v>9628.1</v>
      </c>
      <c r="H243" s="39">
        <f t="shared" si="58"/>
        <v>284.76</v>
      </c>
      <c r="I243" s="39">
        <f t="shared" si="58"/>
        <v>9912.86</v>
      </c>
      <c r="J243" s="39">
        <f t="shared" si="58"/>
        <v>253.2</v>
      </c>
      <c r="K243" s="39">
        <f t="shared" si="58"/>
        <v>10166.060000000001</v>
      </c>
      <c r="L243" s="39">
        <f t="shared" si="58"/>
        <v>0</v>
      </c>
      <c r="M243" s="39">
        <f t="shared" si="58"/>
        <v>10166.060000000001</v>
      </c>
      <c r="N243" s="11"/>
      <c r="O243" s="11"/>
      <c r="P243" s="11"/>
      <c r="T243" s="185"/>
      <c r="U243" s="193">
        <f>U244</f>
        <v>10166.060000000001</v>
      </c>
      <c r="AC243" s="203"/>
      <c r="AD243" s="188">
        <f t="shared" si="48"/>
        <v>10166.060000000001</v>
      </c>
    </row>
    <row r="244" spans="1:30" ht="98.25" customHeight="1">
      <c r="A244" s="4"/>
      <c r="B244" s="158" t="s">
        <v>342</v>
      </c>
      <c r="C244" s="43" t="s">
        <v>44</v>
      </c>
      <c r="D244" s="43" t="s">
        <v>14</v>
      </c>
      <c r="E244" s="44" t="s">
        <v>343</v>
      </c>
      <c r="F244" s="43" t="s">
        <v>288</v>
      </c>
      <c r="G244" s="34">
        <f>11057.6+534-1963.5</f>
        <v>9628.1</v>
      </c>
      <c r="H244" s="35">
        <v>284.76</v>
      </c>
      <c r="I244" s="36">
        <f>11057.6+534-1963.5+284.76</f>
        <v>9912.86</v>
      </c>
      <c r="J244" s="35">
        <f>0+253.2</f>
        <v>253.2</v>
      </c>
      <c r="K244" s="41">
        <f>11057.6+534-1963.5+284.76+253.2</f>
        <v>10166.060000000001</v>
      </c>
      <c r="L244" s="38">
        <v>0</v>
      </c>
      <c r="M244" s="118">
        <f>11057.6+534-1963.5+284.76+253.2</f>
        <v>10166.060000000001</v>
      </c>
      <c r="N244" s="11"/>
      <c r="O244" s="11"/>
      <c r="P244" s="11"/>
      <c r="T244" s="185"/>
      <c r="U244" s="193">
        <f>11057.6+534-1963.5+284.76+253.2</f>
        <v>10166.060000000001</v>
      </c>
      <c r="AC244" s="203"/>
      <c r="AD244" s="188">
        <f t="shared" si="48"/>
        <v>10166.060000000001</v>
      </c>
    </row>
    <row r="245" spans="1:30" ht="56.25" customHeight="1">
      <c r="A245" s="4"/>
      <c r="B245" s="117" t="s">
        <v>393</v>
      </c>
      <c r="C245" s="43" t="s">
        <v>44</v>
      </c>
      <c r="D245" s="43" t="s">
        <v>14</v>
      </c>
      <c r="E245" s="44" t="s">
        <v>348</v>
      </c>
      <c r="F245" s="43" t="s">
        <v>288</v>
      </c>
      <c r="G245" s="34">
        <v>0</v>
      </c>
      <c r="H245" s="35">
        <f aca="true" t="shared" si="59" ref="H245:M245">H246</f>
        <v>1963.5</v>
      </c>
      <c r="I245" s="36">
        <f t="shared" si="59"/>
        <v>1963.5</v>
      </c>
      <c r="J245" s="35">
        <f t="shared" si="59"/>
        <v>0</v>
      </c>
      <c r="K245" s="41">
        <f t="shared" si="59"/>
        <v>1963.5</v>
      </c>
      <c r="L245" s="38">
        <f t="shared" si="59"/>
        <v>0</v>
      </c>
      <c r="M245" s="118">
        <f t="shared" si="59"/>
        <v>1963.5</v>
      </c>
      <c r="N245" s="11"/>
      <c r="O245" s="11"/>
      <c r="P245" s="11"/>
      <c r="T245" s="185"/>
      <c r="U245" s="186">
        <f>U246</f>
        <v>1963.5</v>
      </c>
      <c r="AC245" s="203"/>
      <c r="AD245" s="188">
        <f t="shared" si="48"/>
        <v>1963.5</v>
      </c>
    </row>
    <row r="246" spans="1:30" ht="135.75" customHeight="1">
      <c r="A246" s="4"/>
      <c r="B246" s="117" t="s">
        <v>344</v>
      </c>
      <c r="C246" s="43" t="s">
        <v>44</v>
      </c>
      <c r="D246" s="43" t="s">
        <v>14</v>
      </c>
      <c r="E246" s="44" t="s">
        <v>345</v>
      </c>
      <c r="F246" s="43" t="s">
        <v>288</v>
      </c>
      <c r="G246" s="34">
        <v>0</v>
      </c>
      <c r="H246" s="35">
        <v>1963.5</v>
      </c>
      <c r="I246" s="36">
        <f aca="true" t="shared" si="60" ref="I246:I253">G246+H246</f>
        <v>1963.5</v>
      </c>
      <c r="J246" s="35">
        <v>0</v>
      </c>
      <c r="K246" s="41">
        <f aca="true" t="shared" si="61" ref="K246:K253">I246+J246</f>
        <v>1963.5</v>
      </c>
      <c r="L246" s="38">
        <v>0</v>
      </c>
      <c r="M246" s="118">
        <f aca="true" t="shared" si="62" ref="M246:M253">K246+L246</f>
        <v>1963.5</v>
      </c>
      <c r="N246" s="11"/>
      <c r="O246" s="11"/>
      <c r="P246" s="11"/>
      <c r="T246" s="185"/>
      <c r="U246" s="186">
        <f aca="true" t="shared" si="63" ref="U246:U253">M246</f>
        <v>1963.5</v>
      </c>
      <c r="AC246" s="203"/>
      <c r="AD246" s="188">
        <f t="shared" si="48"/>
        <v>1963.5</v>
      </c>
    </row>
    <row r="247" spans="1:30" ht="26.25" customHeight="1">
      <c r="A247" s="4"/>
      <c r="B247" s="112" t="s">
        <v>346</v>
      </c>
      <c r="C247" s="50">
        <v>11</v>
      </c>
      <c r="D247" s="79" t="s">
        <v>16</v>
      </c>
      <c r="E247" s="80"/>
      <c r="F247" s="79"/>
      <c r="G247" s="34">
        <v>0</v>
      </c>
      <c r="H247" s="35">
        <f>H248</f>
        <v>12941.30624</v>
      </c>
      <c r="I247" s="36">
        <f t="shared" si="60"/>
        <v>12941.30624</v>
      </c>
      <c r="J247" s="35">
        <f>J248</f>
        <v>0</v>
      </c>
      <c r="K247" s="38">
        <f t="shared" si="61"/>
        <v>12941.30624</v>
      </c>
      <c r="L247" s="38">
        <f>L248</f>
        <v>0</v>
      </c>
      <c r="M247" s="136">
        <f t="shared" si="62"/>
        <v>12941.30624</v>
      </c>
      <c r="N247" s="11"/>
      <c r="O247" s="11"/>
      <c r="P247" s="11"/>
      <c r="T247" s="185">
        <f>T248</f>
        <v>-21.6</v>
      </c>
      <c r="U247" s="192">
        <f>M247+T247</f>
        <v>12919.70624</v>
      </c>
      <c r="AC247" s="203"/>
      <c r="AD247" s="188">
        <f t="shared" si="48"/>
        <v>12919.70624</v>
      </c>
    </row>
    <row r="248" spans="1:30" ht="101.25" customHeight="1">
      <c r="A248" s="4"/>
      <c r="B248" s="120" t="s">
        <v>338</v>
      </c>
      <c r="C248" s="50" t="s">
        <v>44</v>
      </c>
      <c r="D248" s="50" t="s">
        <v>16</v>
      </c>
      <c r="E248" s="51" t="s">
        <v>339</v>
      </c>
      <c r="F248" s="79"/>
      <c r="G248" s="34">
        <v>0</v>
      </c>
      <c r="H248" s="35">
        <f>H251+H249</f>
        <v>12941.30624</v>
      </c>
      <c r="I248" s="35">
        <f aca="true" t="shared" si="64" ref="I248:U248">I251+I249</f>
        <v>12941.30624</v>
      </c>
      <c r="J248" s="35">
        <f t="shared" si="64"/>
        <v>0</v>
      </c>
      <c r="K248" s="35">
        <f t="shared" si="64"/>
        <v>12941.30624</v>
      </c>
      <c r="L248" s="35">
        <f t="shared" si="64"/>
        <v>0</v>
      </c>
      <c r="M248" s="35">
        <f t="shared" si="64"/>
        <v>12941.30624</v>
      </c>
      <c r="N248" s="35">
        <f t="shared" si="64"/>
        <v>0</v>
      </c>
      <c r="O248" s="35">
        <f t="shared" si="64"/>
        <v>0</v>
      </c>
      <c r="P248" s="35">
        <f t="shared" si="64"/>
        <v>0</v>
      </c>
      <c r="Q248" s="35">
        <f t="shared" si="64"/>
        <v>0</v>
      </c>
      <c r="R248" s="35">
        <f t="shared" si="64"/>
        <v>0</v>
      </c>
      <c r="S248" s="35">
        <f t="shared" si="64"/>
        <v>0</v>
      </c>
      <c r="T248" s="34">
        <f>T251+T249</f>
        <v>-21.6</v>
      </c>
      <c r="U248" s="35">
        <f t="shared" si="64"/>
        <v>12919.70624</v>
      </c>
      <c r="AC248" s="203"/>
      <c r="AD248" s="188">
        <f t="shared" si="48"/>
        <v>12919.70624</v>
      </c>
    </row>
    <row r="249" spans="1:30" ht="41.25" customHeight="1">
      <c r="A249" s="4"/>
      <c r="B249" s="184" t="s">
        <v>350</v>
      </c>
      <c r="C249" s="43" t="s">
        <v>44</v>
      </c>
      <c r="D249" s="43" t="s">
        <v>16</v>
      </c>
      <c r="E249" s="44" t="s">
        <v>341</v>
      </c>
      <c r="F249" s="43"/>
      <c r="G249" s="34">
        <v>0</v>
      </c>
      <c r="H249" s="35">
        <f>H250</f>
        <v>226.1</v>
      </c>
      <c r="I249" s="36">
        <f>G249+H249</f>
        <v>226.1</v>
      </c>
      <c r="J249" s="35">
        <f>J250</f>
        <v>0</v>
      </c>
      <c r="K249" s="41">
        <f>I249+J249</f>
        <v>226.1</v>
      </c>
      <c r="L249" s="38">
        <f>L250</f>
        <v>0</v>
      </c>
      <c r="M249" s="118">
        <f>K249+L249</f>
        <v>226.1</v>
      </c>
      <c r="N249" s="11"/>
      <c r="O249" s="11"/>
      <c r="P249" s="11"/>
      <c r="T249" s="185">
        <f>T250</f>
        <v>-21.6</v>
      </c>
      <c r="U249" s="186">
        <f>M249+T249</f>
        <v>204.5</v>
      </c>
      <c r="AC249" s="203"/>
      <c r="AD249" s="188">
        <f t="shared" si="48"/>
        <v>204.5</v>
      </c>
    </row>
    <row r="250" spans="1:30" ht="73.5" customHeight="1">
      <c r="A250" s="4"/>
      <c r="B250" s="166" t="s">
        <v>351</v>
      </c>
      <c r="C250" s="43" t="s">
        <v>44</v>
      </c>
      <c r="D250" s="43" t="s">
        <v>16</v>
      </c>
      <c r="E250" s="44" t="s">
        <v>362</v>
      </c>
      <c r="F250" s="43" t="s">
        <v>188</v>
      </c>
      <c r="G250" s="34">
        <v>0</v>
      </c>
      <c r="H250" s="35">
        <v>226.1</v>
      </c>
      <c r="I250" s="36">
        <f>G250+H250</f>
        <v>226.1</v>
      </c>
      <c r="J250" s="35">
        <v>0</v>
      </c>
      <c r="K250" s="41">
        <f>I250+J250</f>
        <v>226.1</v>
      </c>
      <c r="L250" s="38">
        <v>0</v>
      </c>
      <c r="M250" s="118">
        <f>K250+L250</f>
        <v>226.1</v>
      </c>
      <c r="N250" s="11"/>
      <c r="O250" s="11"/>
      <c r="P250" s="11"/>
      <c r="T250" s="185">
        <v>-21.6</v>
      </c>
      <c r="U250" s="186">
        <f>M250+T250</f>
        <v>204.5</v>
      </c>
      <c r="W250" t="s">
        <v>391</v>
      </c>
      <c r="AC250" s="203"/>
      <c r="AD250" s="188">
        <f t="shared" si="48"/>
        <v>204.5</v>
      </c>
    </row>
    <row r="251" spans="1:30" ht="57" customHeight="1">
      <c r="A251" s="4"/>
      <c r="B251" s="128" t="s">
        <v>347</v>
      </c>
      <c r="C251" s="43" t="s">
        <v>44</v>
      </c>
      <c r="D251" s="43" t="s">
        <v>16</v>
      </c>
      <c r="E251" s="44" t="s">
        <v>348</v>
      </c>
      <c r="F251" s="43"/>
      <c r="G251" s="34">
        <v>0</v>
      </c>
      <c r="H251" s="35">
        <f>H252</f>
        <v>12715.20624</v>
      </c>
      <c r="I251" s="35">
        <f t="shared" si="60"/>
        <v>12715.20624</v>
      </c>
      <c r="J251" s="35">
        <f>J252</f>
        <v>0</v>
      </c>
      <c r="K251" s="38">
        <f>I251</f>
        <v>12715.20624</v>
      </c>
      <c r="L251" s="38">
        <f>L252</f>
        <v>0</v>
      </c>
      <c r="M251" s="136">
        <f t="shared" si="62"/>
        <v>12715.20624</v>
      </c>
      <c r="N251" s="11"/>
      <c r="O251" s="11"/>
      <c r="P251" s="11"/>
      <c r="T251" s="185"/>
      <c r="U251" s="192">
        <f t="shared" si="63"/>
        <v>12715.20624</v>
      </c>
      <c r="AC251" s="203"/>
      <c r="AD251" s="188">
        <f t="shared" si="48"/>
        <v>12715.20624</v>
      </c>
    </row>
    <row r="252" spans="1:30" ht="99.75" customHeight="1">
      <c r="A252" s="4"/>
      <c r="B252" s="115" t="s">
        <v>349</v>
      </c>
      <c r="C252" s="43" t="s">
        <v>44</v>
      </c>
      <c r="D252" s="43" t="s">
        <v>16</v>
      </c>
      <c r="E252" s="44" t="s">
        <v>392</v>
      </c>
      <c r="F252" s="43" t="s">
        <v>188</v>
      </c>
      <c r="G252" s="34">
        <v>0</v>
      </c>
      <c r="H252" s="35">
        <f>H253+10299.30624</f>
        <v>12715.20624</v>
      </c>
      <c r="I252" s="36">
        <f t="shared" si="60"/>
        <v>12715.20624</v>
      </c>
      <c r="J252" s="35">
        <v>0</v>
      </c>
      <c r="K252" s="38">
        <f t="shared" si="61"/>
        <v>12715.20624</v>
      </c>
      <c r="L252" s="38">
        <v>0</v>
      </c>
      <c r="M252" s="136">
        <f t="shared" si="62"/>
        <v>12715.20624</v>
      </c>
      <c r="N252" s="11"/>
      <c r="O252" s="11"/>
      <c r="P252" s="11"/>
      <c r="T252" s="185"/>
      <c r="U252" s="192">
        <f t="shared" si="63"/>
        <v>12715.20624</v>
      </c>
      <c r="AC252" s="203"/>
      <c r="AD252" s="188">
        <f t="shared" si="48"/>
        <v>12715.20624</v>
      </c>
    </row>
    <row r="253" spans="1:30" ht="35.25" customHeight="1">
      <c r="A253" s="4"/>
      <c r="B253" s="137" t="s">
        <v>118</v>
      </c>
      <c r="C253" s="43" t="s">
        <v>44</v>
      </c>
      <c r="D253" s="43" t="s">
        <v>16</v>
      </c>
      <c r="E253" s="44" t="s">
        <v>392</v>
      </c>
      <c r="F253" s="43" t="s">
        <v>188</v>
      </c>
      <c r="G253" s="34">
        <v>0</v>
      </c>
      <c r="H253" s="35">
        <v>2415.9</v>
      </c>
      <c r="I253" s="36">
        <f t="shared" si="60"/>
        <v>2415.9</v>
      </c>
      <c r="J253" s="35">
        <v>0</v>
      </c>
      <c r="K253" s="41">
        <f t="shared" si="61"/>
        <v>2415.9</v>
      </c>
      <c r="L253" s="38">
        <v>0</v>
      </c>
      <c r="M253" s="118">
        <f t="shared" si="62"/>
        <v>2415.9</v>
      </c>
      <c r="N253" s="11"/>
      <c r="O253" s="11"/>
      <c r="P253" s="11"/>
      <c r="T253" s="185"/>
      <c r="U253" s="186">
        <f t="shared" si="63"/>
        <v>2415.9</v>
      </c>
      <c r="AC253" s="203"/>
      <c r="AD253" s="188">
        <f t="shared" si="48"/>
        <v>2415.9</v>
      </c>
    </row>
    <row r="254" spans="1:30" ht="19.5" customHeight="1">
      <c r="A254" s="7"/>
      <c r="B254" s="167" t="s">
        <v>352</v>
      </c>
      <c r="C254" s="168"/>
      <c r="D254" s="168"/>
      <c r="E254" s="169"/>
      <c r="F254" s="168"/>
      <c r="G254" s="170" t="e">
        <f aca="true" t="shared" si="65" ref="G254:T254">G14</f>
        <v>#REF!</v>
      </c>
      <c r="H254" s="171">
        <f t="shared" si="65"/>
        <v>274658.32985999994</v>
      </c>
      <c r="I254" s="172" t="e">
        <f t="shared" si="65"/>
        <v>#REF!</v>
      </c>
      <c r="J254" s="171">
        <f t="shared" si="65"/>
        <v>5151.042960000001</v>
      </c>
      <c r="K254" s="173" t="e">
        <f t="shared" si="65"/>
        <v>#REF!</v>
      </c>
      <c r="L254" s="173">
        <f t="shared" si="65"/>
        <v>17124.514450000006</v>
      </c>
      <c r="M254" s="174">
        <f t="shared" si="65"/>
        <v>391491.88726999995</v>
      </c>
      <c r="N254" s="174">
        <f t="shared" si="65"/>
        <v>0</v>
      </c>
      <c r="O254" s="174">
        <f t="shared" si="65"/>
        <v>0</v>
      </c>
      <c r="P254" s="174">
        <f t="shared" si="65"/>
        <v>0</v>
      </c>
      <c r="Q254" s="174">
        <f t="shared" si="65"/>
        <v>0</v>
      </c>
      <c r="R254" s="174">
        <f t="shared" si="65"/>
        <v>0</v>
      </c>
      <c r="S254" s="174">
        <f t="shared" si="65"/>
        <v>0</v>
      </c>
      <c r="T254" s="197">
        <f t="shared" si="65"/>
        <v>-3458.2545699999996</v>
      </c>
      <c r="U254" s="197">
        <f>U14</f>
        <v>388033.63269999996</v>
      </c>
      <c r="AC254" s="203"/>
      <c r="AD254" s="188">
        <f t="shared" si="48"/>
        <v>388033.63269999996</v>
      </c>
    </row>
    <row r="255" spans="2:16" ht="15.75">
      <c r="B255" s="11"/>
      <c r="C255" s="11"/>
      <c r="D255" s="11"/>
      <c r="E255" s="11"/>
      <c r="F255" s="11"/>
      <c r="G255" s="100"/>
      <c r="H255" s="101"/>
      <c r="I255" s="102"/>
      <c r="J255" s="101"/>
      <c r="K255" s="102"/>
      <c r="L255" s="11"/>
      <c r="N255" s="11"/>
      <c r="O255" s="11"/>
      <c r="P255" s="11"/>
    </row>
    <row r="256" spans="2:16" ht="15.75">
      <c r="B256" s="11"/>
      <c r="C256" s="11"/>
      <c r="D256" s="11"/>
      <c r="E256" s="11"/>
      <c r="F256" s="11"/>
      <c r="G256" s="100"/>
      <c r="H256" s="101"/>
      <c r="I256" s="102"/>
      <c r="J256" s="101"/>
      <c r="K256" s="102"/>
      <c r="L256" s="11"/>
      <c r="N256" s="11"/>
      <c r="O256" s="11"/>
      <c r="P256" s="11"/>
    </row>
    <row r="257" spans="2:16" ht="15.75">
      <c r="B257" s="11"/>
      <c r="C257" s="11"/>
      <c r="D257" s="11"/>
      <c r="E257" s="11"/>
      <c r="F257" s="11"/>
      <c r="G257" s="100"/>
      <c r="H257" s="101"/>
      <c r="I257" s="102"/>
      <c r="J257" s="101"/>
      <c r="K257" s="102"/>
      <c r="L257" s="11"/>
      <c r="N257" s="11"/>
      <c r="O257" s="11"/>
      <c r="P257" s="11"/>
    </row>
    <row r="258" spans="2:16" ht="15.75">
      <c r="B258" s="11"/>
      <c r="C258" s="11"/>
      <c r="D258" s="11"/>
      <c r="E258" s="11"/>
      <c r="F258" s="11"/>
      <c r="G258" s="100"/>
      <c r="H258" s="101"/>
      <c r="I258" s="102"/>
      <c r="J258" s="101"/>
      <c r="K258" s="102"/>
      <c r="L258" s="11"/>
      <c r="N258" s="11"/>
      <c r="O258" s="11"/>
      <c r="P258" s="11"/>
    </row>
    <row r="259" spans="2:16" ht="15.75">
      <c r="B259" s="11"/>
      <c r="C259" s="11"/>
      <c r="D259" s="11"/>
      <c r="E259" s="11"/>
      <c r="F259" s="11"/>
      <c r="G259" s="100"/>
      <c r="H259" s="101"/>
      <c r="I259" s="102"/>
      <c r="J259" s="101"/>
      <c r="K259" s="102"/>
      <c r="L259" s="11"/>
      <c r="N259" s="11"/>
      <c r="O259" s="11"/>
      <c r="P259" s="11"/>
    </row>
    <row r="260" spans="2:16" ht="15.75">
      <c r="B260" s="11"/>
      <c r="C260" s="11"/>
      <c r="D260" s="11"/>
      <c r="E260" s="11"/>
      <c r="F260" s="11"/>
      <c r="G260" s="100"/>
      <c r="H260" s="101"/>
      <c r="I260" s="102"/>
      <c r="J260" s="101"/>
      <c r="K260" s="102"/>
      <c r="L260" s="11"/>
      <c r="N260" s="11"/>
      <c r="O260" s="11"/>
      <c r="P260" s="11"/>
    </row>
    <row r="261" spans="2:16" ht="15.75">
      <c r="B261" s="11"/>
      <c r="C261" s="11"/>
      <c r="D261" s="11"/>
      <c r="E261" s="11"/>
      <c r="F261" s="11"/>
      <c r="G261" s="100"/>
      <c r="H261" s="101"/>
      <c r="I261" s="102"/>
      <c r="J261" s="101"/>
      <c r="K261" s="102"/>
      <c r="L261" s="11"/>
      <c r="N261" s="11"/>
      <c r="O261" s="11"/>
      <c r="P261" s="11"/>
    </row>
    <row r="262" spans="2:16" ht="15.75">
      <c r="B262" s="11"/>
      <c r="C262" s="11"/>
      <c r="D262" s="11"/>
      <c r="E262" s="11"/>
      <c r="F262" s="11"/>
      <c r="G262" s="100"/>
      <c r="H262" s="101"/>
      <c r="I262" s="102"/>
      <c r="J262" s="101"/>
      <c r="K262" s="102"/>
      <c r="L262" s="11"/>
      <c r="N262" s="11"/>
      <c r="O262" s="11"/>
      <c r="P262" s="11"/>
    </row>
    <row r="263" spans="2:16" ht="15.75">
      <c r="B263" s="11"/>
      <c r="C263" s="11"/>
      <c r="D263" s="11"/>
      <c r="E263" s="11"/>
      <c r="F263" s="11"/>
      <c r="G263" s="100"/>
      <c r="H263" s="101"/>
      <c r="I263" s="102"/>
      <c r="J263" s="101"/>
      <c r="K263" s="102"/>
      <c r="L263" s="11"/>
      <c r="N263" s="11"/>
      <c r="O263" s="11"/>
      <c r="P263" s="11"/>
    </row>
    <row r="264" spans="2:16" ht="15.75">
      <c r="B264" s="11"/>
      <c r="C264" s="11"/>
      <c r="D264" s="11"/>
      <c r="E264" s="11"/>
      <c r="F264" s="11"/>
      <c r="G264" s="100"/>
      <c r="H264" s="101"/>
      <c r="I264" s="102"/>
      <c r="J264" s="101"/>
      <c r="K264" s="102"/>
      <c r="L264" s="11"/>
      <c r="N264" s="11"/>
      <c r="O264" s="11"/>
      <c r="P264" s="11"/>
    </row>
    <row r="265" spans="2:16" ht="15.75">
      <c r="B265" s="11"/>
      <c r="C265" s="11"/>
      <c r="D265" s="11"/>
      <c r="E265" s="11"/>
      <c r="F265" s="11"/>
      <c r="G265" s="100"/>
      <c r="H265" s="101"/>
      <c r="I265" s="102"/>
      <c r="J265" s="101"/>
      <c r="K265" s="102"/>
      <c r="L265" s="11"/>
      <c r="N265" s="11"/>
      <c r="O265" s="11"/>
      <c r="P265" s="11"/>
    </row>
    <row r="266" spans="2:16" ht="15.75">
      <c r="B266" s="11"/>
      <c r="C266" s="11"/>
      <c r="D266" s="11"/>
      <c r="E266" s="11"/>
      <c r="F266" s="11"/>
      <c r="G266" s="100"/>
      <c r="H266" s="101"/>
      <c r="I266" s="102"/>
      <c r="J266" s="101"/>
      <c r="K266" s="102"/>
      <c r="L266" s="11"/>
      <c r="N266" s="11"/>
      <c r="O266" s="11"/>
      <c r="P266" s="11"/>
    </row>
    <row r="267" spans="2:16" ht="15.75">
      <c r="B267" s="11"/>
      <c r="C267" s="11"/>
      <c r="D267" s="11"/>
      <c r="E267" s="11"/>
      <c r="F267" s="11"/>
      <c r="G267" s="100"/>
      <c r="H267" s="101"/>
      <c r="I267" s="102"/>
      <c r="J267" s="101"/>
      <c r="K267" s="102"/>
      <c r="L267" s="11"/>
      <c r="N267" s="11"/>
      <c r="O267" s="11"/>
      <c r="P267" s="11"/>
    </row>
    <row r="268" spans="2:16" ht="15.75">
      <c r="B268" s="11"/>
      <c r="C268" s="11"/>
      <c r="D268" s="11"/>
      <c r="E268" s="11"/>
      <c r="F268" s="11"/>
      <c r="G268" s="100"/>
      <c r="H268" s="101"/>
      <c r="I268" s="102"/>
      <c r="J268" s="101"/>
      <c r="K268" s="102"/>
      <c r="L268" s="11"/>
      <c r="N268" s="11"/>
      <c r="O268" s="11"/>
      <c r="P268" s="11"/>
    </row>
    <row r="269" spans="2:16" ht="15.75">
      <c r="B269" s="11"/>
      <c r="C269" s="11"/>
      <c r="D269" s="11"/>
      <c r="E269" s="11"/>
      <c r="F269" s="11"/>
      <c r="G269" s="100"/>
      <c r="H269" s="101"/>
      <c r="I269" s="102"/>
      <c r="J269" s="101"/>
      <c r="K269" s="102"/>
      <c r="L269" s="11"/>
      <c r="N269" s="11"/>
      <c r="O269" s="11"/>
      <c r="P269" s="11"/>
    </row>
    <row r="270" spans="2:16" ht="15.75">
      <c r="B270" s="11"/>
      <c r="C270" s="11"/>
      <c r="D270" s="11"/>
      <c r="E270" s="11"/>
      <c r="F270" s="11"/>
      <c r="G270" s="100"/>
      <c r="H270" s="101"/>
      <c r="I270" s="102"/>
      <c r="J270" s="101"/>
      <c r="K270" s="102"/>
      <c r="L270" s="11"/>
      <c r="N270" s="11"/>
      <c r="O270" s="11"/>
      <c r="P270" s="11"/>
    </row>
    <row r="271" spans="2:16" ht="15.75">
      <c r="B271" s="11"/>
      <c r="C271" s="11"/>
      <c r="D271" s="11"/>
      <c r="E271" s="11"/>
      <c r="F271" s="11"/>
      <c r="G271" s="100"/>
      <c r="H271" s="101"/>
      <c r="I271" s="102"/>
      <c r="J271" s="101"/>
      <c r="K271" s="102"/>
      <c r="L271" s="11"/>
      <c r="N271" s="11"/>
      <c r="O271" s="11"/>
      <c r="P271" s="11"/>
    </row>
    <row r="272" spans="2:16" ht="15.75">
      <c r="B272" s="11"/>
      <c r="C272" s="11"/>
      <c r="D272" s="11"/>
      <c r="E272" s="11"/>
      <c r="F272" s="11"/>
      <c r="G272" s="100"/>
      <c r="H272" s="101"/>
      <c r="I272" s="102"/>
      <c r="J272" s="101"/>
      <c r="K272" s="102"/>
      <c r="L272" s="11"/>
      <c r="N272" s="11"/>
      <c r="O272" s="11"/>
      <c r="P272" s="11"/>
    </row>
    <row r="273" spans="2:16" ht="15.75">
      <c r="B273" s="11"/>
      <c r="C273" s="11"/>
      <c r="D273" s="11"/>
      <c r="E273" s="11"/>
      <c r="F273" s="11"/>
      <c r="G273" s="100"/>
      <c r="H273" s="101"/>
      <c r="I273" s="102"/>
      <c r="J273" s="101"/>
      <c r="K273" s="102"/>
      <c r="L273" s="11"/>
      <c r="N273" s="11"/>
      <c r="O273" s="11"/>
      <c r="P273" s="11"/>
    </row>
    <row r="274" spans="2:16" ht="15.75">
      <c r="B274" s="11"/>
      <c r="C274" s="11"/>
      <c r="D274" s="11"/>
      <c r="E274" s="11"/>
      <c r="F274" s="11"/>
      <c r="G274" s="100"/>
      <c r="H274" s="101"/>
      <c r="I274" s="102"/>
      <c r="J274" s="101"/>
      <c r="K274" s="102"/>
      <c r="L274" s="11"/>
      <c r="N274" s="11"/>
      <c r="O274" s="11"/>
      <c r="P274" s="11"/>
    </row>
    <row r="275" spans="2:16" ht="15.75">
      <c r="B275" s="11"/>
      <c r="C275" s="11"/>
      <c r="D275" s="11"/>
      <c r="E275" s="11"/>
      <c r="F275" s="11"/>
      <c r="G275" s="100"/>
      <c r="H275" s="101"/>
      <c r="I275" s="102"/>
      <c r="J275" s="101"/>
      <c r="K275" s="102"/>
      <c r="L275" s="11"/>
      <c r="N275" s="11"/>
      <c r="O275" s="11"/>
      <c r="P275" s="11"/>
    </row>
    <row r="276" spans="2:16" ht="15.75">
      <c r="B276" s="11"/>
      <c r="C276" s="11"/>
      <c r="D276" s="11"/>
      <c r="E276" s="11"/>
      <c r="F276" s="11"/>
      <c r="G276" s="100"/>
      <c r="H276" s="101"/>
      <c r="I276" s="102"/>
      <c r="J276" s="101"/>
      <c r="K276" s="102"/>
      <c r="L276" s="11"/>
      <c r="N276" s="11"/>
      <c r="O276" s="11"/>
      <c r="P276" s="11"/>
    </row>
    <row r="277" spans="2:16" ht="15.75">
      <c r="B277" s="11"/>
      <c r="C277" s="11"/>
      <c r="D277" s="11"/>
      <c r="E277" s="11"/>
      <c r="F277" s="11"/>
      <c r="G277" s="100"/>
      <c r="H277" s="101"/>
      <c r="I277" s="102"/>
      <c r="J277" s="101"/>
      <c r="K277" s="102"/>
      <c r="L277" s="11"/>
      <c r="N277" s="11"/>
      <c r="O277" s="11"/>
      <c r="P277" s="11"/>
    </row>
    <row r="278" spans="2:16" ht="15.75">
      <c r="B278" s="11"/>
      <c r="C278" s="11"/>
      <c r="D278" s="11"/>
      <c r="E278" s="11"/>
      <c r="F278" s="11"/>
      <c r="G278" s="100"/>
      <c r="H278" s="101"/>
      <c r="I278" s="102"/>
      <c r="J278" s="101"/>
      <c r="K278" s="102"/>
      <c r="L278" s="11"/>
      <c r="N278" s="11"/>
      <c r="O278" s="11"/>
      <c r="P278" s="11"/>
    </row>
    <row r="279" spans="2:16" ht="15.75">
      <c r="B279" s="11"/>
      <c r="C279" s="11"/>
      <c r="D279" s="11"/>
      <c r="E279" s="11"/>
      <c r="F279" s="11"/>
      <c r="G279" s="100"/>
      <c r="H279" s="101"/>
      <c r="I279" s="102"/>
      <c r="J279" s="101"/>
      <c r="K279" s="102"/>
      <c r="L279" s="11"/>
      <c r="N279" s="11"/>
      <c r="O279" s="11"/>
      <c r="P279" s="11"/>
    </row>
    <row r="280" spans="2:16" ht="15.75">
      <c r="B280" s="11"/>
      <c r="C280" s="11"/>
      <c r="D280" s="11"/>
      <c r="E280" s="11"/>
      <c r="F280" s="11"/>
      <c r="G280" s="100"/>
      <c r="H280" s="101"/>
      <c r="I280" s="102"/>
      <c r="J280" s="101"/>
      <c r="K280" s="102"/>
      <c r="L280" s="11"/>
      <c r="N280" s="11"/>
      <c r="O280" s="11"/>
      <c r="P280" s="11"/>
    </row>
    <row r="281" spans="2:16" ht="15.75">
      <c r="B281" s="11"/>
      <c r="C281" s="11"/>
      <c r="D281" s="11"/>
      <c r="E281" s="11"/>
      <c r="F281" s="11"/>
      <c r="G281" s="100"/>
      <c r="H281" s="101"/>
      <c r="I281" s="102"/>
      <c r="J281" s="101"/>
      <c r="K281" s="102"/>
      <c r="L281" s="11"/>
      <c r="N281" s="11"/>
      <c r="O281" s="11"/>
      <c r="P281" s="11"/>
    </row>
    <row r="282" spans="2:16" ht="15.75">
      <c r="B282" s="11"/>
      <c r="C282" s="11"/>
      <c r="D282" s="11"/>
      <c r="E282" s="11"/>
      <c r="F282" s="11"/>
      <c r="G282" s="100"/>
      <c r="H282" s="101"/>
      <c r="I282" s="102"/>
      <c r="J282" s="101"/>
      <c r="K282" s="102"/>
      <c r="L282" s="11"/>
      <c r="N282" s="11"/>
      <c r="O282" s="11"/>
      <c r="P282" s="11"/>
    </row>
    <row r="283" spans="2:16" ht="15.75">
      <c r="B283" s="11"/>
      <c r="C283" s="11"/>
      <c r="D283" s="11"/>
      <c r="E283" s="11"/>
      <c r="F283" s="11"/>
      <c r="G283" s="100"/>
      <c r="H283" s="101"/>
      <c r="I283" s="102"/>
      <c r="J283" s="101"/>
      <c r="K283" s="102"/>
      <c r="L283" s="11"/>
      <c r="N283" s="11"/>
      <c r="O283" s="11"/>
      <c r="P283" s="11"/>
    </row>
    <row r="284" spans="2:16" ht="15.75">
      <c r="B284" s="11"/>
      <c r="C284" s="11"/>
      <c r="D284" s="11"/>
      <c r="E284" s="11"/>
      <c r="F284" s="11"/>
      <c r="G284" s="100"/>
      <c r="H284" s="101"/>
      <c r="I284" s="102"/>
      <c r="J284" s="101"/>
      <c r="K284" s="102"/>
      <c r="L284" s="11"/>
      <c r="N284" s="11"/>
      <c r="O284" s="11"/>
      <c r="P284" s="11"/>
    </row>
    <row r="285" spans="2:16" ht="15.75">
      <c r="B285" s="11"/>
      <c r="C285" s="11"/>
      <c r="D285" s="11"/>
      <c r="E285" s="11"/>
      <c r="F285" s="11"/>
      <c r="G285" s="100"/>
      <c r="H285" s="101"/>
      <c r="I285" s="102"/>
      <c r="J285" s="101"/>
      <c r="K285" s="102"/>
      <c r="L285" s="11"/>
      <c r="N285" s="11"/>
      <c r="O285" s="11"/>
      <c r="P285" s="11"/>
    </row>
    <row r="286" spans="2:16" ht="15.75">
      <c r="B286" s="11"/>
      <c r="C286" s="11"/>
      <c r="D286" s="11"/>
      <c r="E286" s="11"/>
      <c r="F286" s="11"/>
      <c r="G286" s="100"/>
      <c r="H286" s="101"/>
      <c r="I286" s="102"/>
      <c r="J286" s="101"/>
      <c r="K286" s="102"/>
      <c r="L286" s="11"/>
      <c r="N286" s="11"/>
      <c r="O286" s="11"/>
      <c r="P286" s="11"/>
    </row>
    <row r="287" spans="2:16" ht="15.75">
      <c r="B287" s="11"/>
      <c r="C287" s="11"/>
      <c r="D287" s="11"/>
      <c r="E287" s="11"/>
      <c r="F287" s="11"/>
      <c r="G287" s="100"/>
      <c r="H287" s="101"/>
      <c r="I287" s="102"/>
      <c r="J287" s="101"/>
      <c r="K287" s="102"/>
      <c r="L287" s="11"/>
      <c r="N287" s="11"/>
      <c r="O287" s="11"/>
      <c r="P287" s="11"/>
    </row>
    <row r="288" spans="2:16" ht="15.75">
      <c r="B288" s="11"/>
      <c r="C288" s="11"/>
      <c r="D288" s="11"/>
      <c r="E288" s="11"/>
      <c r="F288" s="11"/>
      <c r="G288" s="100"/>
      <c r="H288" s="101"/>
      <c r="I288" s="102"/>
      <c r="J288" s="101"/>
      <c r="K288" s="102"/>
      <c r="L288" s="11"/>
      <c r="N288" s="11"/>
      <c r="O288" s="11"/>
      <c r="P288" s="11"/>
    </row>
    <row r="289" spans="2:16" ht="15.75">
      <c r="B289" s="11"/>
      <c r="C289" s="11"/>
      <c r="D289" s="11"/>
      <c r="E289" s="11"/>
      <c r="F289" s="11"/>
      <c r="G289" s="100"/>
      <c r="H289" s="101"/>
      <c r="I289" s="102"/>
      <c r="J289" s="101"/>
      <c r="K289" s="102"/>
      <c r="L289" s="11"/>
      <c r="N289" s="11"/>
      <c r="O289" s="11"/>
      <c r="P289" s="11"/>
    </row>
    <row r="290" spans="2:16" ht="15.75">
      <c r="B290" s="11"/>
      <c r="C290" s="11"/>
      <c r="D290" s="11"/>
      <c r="E290" s="11"/>
      <c r="F290" s="11"/>
      <c r="G290" s="100"/>
      <c r="H290" s="101"/>
      <c r="I290" s="102"/>
      <c r="J290" s="101"/>
      <c r="K290" s="102"/>
      <c r="L290" s="11"/>
      <c r="N290" s="11"/>
      <c r="O290" s="11"/>
      <c r="P290" s="11"/>
    </row>
    <row r="291" spans="2:16" ht="15.75">
      <c r="B291" s="11"/>
      <c r="C291" s="11"/>
      <c r="D291" s="11"/>
      <c r="E291" s="11"/>
      <c r="F291" s="11"/>
      <c r="G291" s="100"/>
      <c r="H291" s="101"/>
      <c r="I291" s="102"/>
      <c r="J291" s="101"/>
      <c r="K291" s="102"/>
      <c r="L291" s="11"/>
      <c r="N291" s="11"/>
      <c r="O291" s="11"/>
      <c r="P291" s="11"/>
    </row>
    <row r="292" spans="2:16" ht="15.75">
      <c r="B292" s="11"/>
      <c r="C292" s="11"/>
      <c r="D292" s="11"/>
      <c r="E292" s="11"/>
      <c r="F292" s="11"/>
      <c r="G292" s="100"/>
      <c r="H292" s="101"/>
      <c r="I292" s="102"/>
      <c r="J292" s="101"/>
      <c r="K292" s="102"/>
      <c r="L292" s="11"/>
      <c r="N292" s="11"/>
      <c r="O292" s="11"/>
      <c r="P292" s="11"/>
    </row>
    <row r="293" spans="2:16" ht="15.75">
      <c r="B293" s="11"/>
      <c r="C293" s="11"/>
      <c r="D293" s="11"/>
      <c r="E293" s="11"/>
      <c r="F293" s="11"/>
      <c r="G293" s="100"/>
      <c r="H293" s="101"/>
      <c r="I293" s="102"/>
      <c r="J293" s="101"/>
      <c r="K293" s="102"/>
      <c r="L293" s="11"/>
      <c r="N293" s="11"/>
      <c r="O293" s="11"/>
      <c r="P293" s="11"/>
    </row>
    <row r="294" spans="2:16" ht="15.75">
      <c r="B294" s="11"/>
      <c r="C294" s="11"/>
      <c r="D294" s="11"/>
      <c r="E294" s="11"/>
      <c r="F294" s="11"/>
      <c r="G294" s="100"/>
      <c r="H294" s="101"/>
      <c r="I294" s="102"/>
      <c r="J294" s="101"/>
      <c r="K294" s="102"/>
      <c r="L294" s="11"/>
      <c r="N294" s="11"/>
      <c r="O294" s="11"/>
      <c r="P294" s="11"/>
    </row>
    <row r="295" spans="2:16" ht="15.75">
      <c r="B295" s="11"/>
      <c r="C295" s="11"/>
      <c r="D295" s="11"/>
      <c r="E295" s="11"/>
      <c r="F295" s="11"/>
      <c r="G295" s="100"/>
      <c r="H295" s="101"/>
      <c r="I295" s="102"/>
      <c r="J295" s="101"/>
      <c r="K295" s="102"/>
      <c r="L295" s="11"/>
      <c r="N295" s="11"/>
      <c r="O295" s="11"/>
      <c r="P295" s="11"/>
    </row>
    <row r="296" spans="2:16" ht="15.75">
      <c r="B296" s="11"/>
      <c r="C296" s="11"/>
      <c r="D296" s="11"/>
      <c r="E296" s="11"/>
      <c r="F296" s="11"/>
      <c r="G296" s="100"/>
      <c r="H296" s="101"/>
      <c r="I296" s="102"/>
      <c r="J296" s="101"/>
      <c r="K296" s="102"/>
      <c r="L296" s="11"/>
      <c r="N296" s="11"/>
      <c r="O296" s="11"/>
      <c r="P296" s="11"/>
    </row>
    <row r="297" spans="2:16" ht="15.75">
      <c r="B297" s="11"/>
      <c r="C297" s="11"/>
      <c r="D297" s="11"/>
      <c r="E297" s="11"/>
      <c r="F297" s="11"/>
      <c r="G297" s="100"/>
      <c r="H297" s="101"/>
      <c r="I297" s="102"/>
      <c r="J297" s="101"/>
      <c r="K297" s="102"/>
      <c r="L297" s="11"/>
      <c r="N297" s="11"/>
      <c r="O297" s="11"/>
      <c r="P297" s="11"/>
    </row>
    <row r="298" spans="2:16" ht="15.75">
      <c r="B298" s="11"/>
      <c r="C298" s="11"/>
      <c r="D298" s="11"/>
      <c r="E298" s="11"/>
      <c r="F298" s="11"/>
      <c r="G298" s="100"/>
      <c r="H298" s="101"/>
      <c r="I298" s="102"/>
      <c r="J298" s="101"/>
      <c r="K298" s="102"/>
      <c r="L298" s="11"/>
      <c r="N298" s="11"/>
      <c r="O298" s="11"/>
      <c r="P298" s="11"/>
    </row>
    <row r="299" spans="2:16" ht="15.75">
      <c r="B299" s="11"/>
      <c r="C299" s="11"/>
      <c r="D299" s="11"/>
      <c r="E299" s="11"/>
      <c r="F299" s="11"/>
      <c r="G299" s="100"/>
      <c r="H299" s="101"/>
      <c r="I299" s="102"/>
      <c r="J299" s="101"/>
      <c r="K299" s="102"/>
      <c r="L299" s="11"/>
      <c r="N299" s="11"/>
      <c r="O299" s="11"/>
      <c r="P299" s="11"/>
    </row>
    <row r="300" spans="2:16" ht="15.75">
      <c r="B300" s="11"/>
      <c r="C300" s="11"/>
      <c r="D300" s="11"/>
      <c r="E300" s="11"/>
      <c r="F300" s="11"/>
      <c r="G300" s="100"/>
      <c r="H300" s="101"/>
      <c r="I300" s="102"/>
      <c r="J300" s="101"/>
      <c r="K300" s="102"/>
      <c r="L300" s="11"/>
      <c r="N300" s="11"/>
      <c r="O300" s="11"/>
      <c r="P300" s="11"/>
    </row>
    <row r="301" spans="2:16" ht="15.75">
      <c r="B301" s="11"/>
      <c r="C301" s="11"/>
      <c r="D301" s="11"/>
      <c r="E301" s="11"/>
      <c r="F301" s="11"/>
      <c r="G301" s="100"/>
      <c r="H301" s="101"/>
      <c r="I301" s="102"/>
      <c r="J301" s="101"/>
      <c r="K301" s="102"/>
      <c r="L301" s="11"/>
      <c r="N301" s="11"/>
      <c r="O301" s="11"/>
      <c r="P301" s="11"/>
    </row>
    <row r="302" spans="2:16" ht="15.75">
      <c r="B302" s="11"/>
      <c r="C302" s="11"/>
      <c r="D302" s="11"/>
      <c r="E302" s="11"/>
      <c r="F302" s="11"/>
      <c r="G302" s="100"/>
      <c r="H302" s="101"/>
      <c r="I302" s="102"/>
      <c r="J302" s="101"/>
      <c r="K302" s="102"/>
      <c r="L302" s="11"/>
      <c r="N302" s="11"/>
      <c r="O302" s="11"/>
      <c r="P302" s="11"/>
    </row>
    <row r="303" spans="2:16" ht="15.75">
      <c r="B303" s="11"/>
      <c r="C303" s="11"/>
      <c r="D303" s="11"/>
      <c r="E303" s="11"/>
      <c r="F303" s="11"/>
      <c r="G303" s="100"/>
      <c r="H303" s="101"/>
      <c r="I303" s="102"/>
      <c r="J303" s="101"/>
      <c r="K303" s="102"/>
      <c r="L303" s="11"/>
      <c r="N303" s="11"/>
      <c r="O303" s="11"/>
      <c r="P303" s="11"/>
    </row>
    <row r="304" spans="2:16" ht="15.75">
      <c r="B304" s="11"/>
      <c r="C304" s="11"/>
      <c r="D304" s="11"/>
      <c r="E304" s="11"/>
      <c r="F304" s="11"/>
      <c r="G304" s="100"/>
      <c r="H304" s="101"/>
      <c r="I304" s="102"/>
      <c r="J304" s="101"/>
      <c r="K304" s="102"/>
      <c r="L304" s="11"/>
      <c r="N304" s="11"/>
      <c r="O304" s="11"/>
      <c r="P304" s="11"/>
    </row>
    <row r="305" spans="2:16" ht="15.75">
      <c r="B305" s="11"/>
      <c r="C305" s="11"/>
      <c r="D305" s="11"/>
      <c r="E305" s="11"/>
      <c r="F305" s="11"/>
      <c r="G305" s="100"/>
      <c r="H305" s="101"/>
      <c r="I305" s="102"/>
      <c r="J305" s="101"/>
      <c r="K305" s="102"/>
      <c r="L305" s="11"/>
      <c r="N305" s="11"/>
      <c r="O305" s="11"/>
      <c r="P305" s="11"/>
    </row>
    <row r="306" spans="2:16" ht="15.75">
      <c r="B306" s="11"/>
      <c r="C306" s="11"/>
      <c r="D306" s="11"/>
      <c r="E306" s="11"/>
      <c r="F306" s="11"/>
      <c r="G306" s="100"/>
      <c r="H306" s="101"/>
      <c r="I306" s="102"/>
      <c r="J306" s="101"/>
      <c r="K306" s="102"/>
      <c r="L306" s="11"/>
      <c r="N306" s="11"/>
      <c r="O306" s="11"/>
      <c r="P306" s="11"/>
    </row>
    <row r="307" spans="2:16" ht="15.75">
      <c r="B307" s="11"/>
      <c r="C307" s="11"/>
      <c r="D307" s="11"/>
      <c r="E307" s="11"/>
      <c r="F307" s="11"/>
      <c r="G307" s="100"/>
      <c r="H307" s="101"/>
      <c r="I307" s="102"/>
      <c r="J307" s="101"/>
      <c r="K307" s="102"/>
      <c r="L307" s="11"/>
      <c r="N307" s="11"/>
      <c r="O307" s="11"/>
      <c r="P307" s="11"/>
    </row>
    <row r="308" spans="2:16" ht="15.75">
      <c r="B308" s="11"/>
      <c r="C308" s="11"/>
      <c r="D308" s="11"/>
      <c r="E308" s="11"/>
      <c r="F308" s="11"/>
      <c r="G308" s="100"/>
      <c r="H308" s="101"/>
      <c r="I308" s="102"/>
      <c r="J308" s="101"/>
      <c r="K308" s="102"/>
      <c r="L308" s="11"/>
      <c r="N308" s="11"/>
      <c r="O308" s="11"/>
      <c r="P308" s="11"/>
    </row>
    <row r="309" spans="2:16" ht="15.75">
      <c r="B309" s="11"/>
      <c r="C309" s="11"/>
      <c r="D309" s="11"/>
      <c r="E309" s="11"/>
      <c r="F309" s="11"/>
      <c r="G309" s="100"/>
      <c r="H309" s="101"/>
      <c r="I309" s="102"/>
      <c r="J309" s="101"/>
      <c r="K309" s="102"/>
      <c r="L309" s="11"/>
      <c r="N309" s="11"/>
      <c r="O309" s="11"/>
      <c r="P309" s="11"/>
    </row>
    <row r="310" spans="2:16" ht="15.75">
      <c r="B310" s="11"/>
      <c r="C310" s="11"/>
      <c r="D310" s="11"/>
      <c r="E310" s="11"/>
      <c r="F310" s="11"/>
      <c r="G310" s="100"/>
      <c r="H310" s="101"/>
      <c r="I310" s="102"/>
      <c r="J310" s="101"/>
      <c r="K310" s="102"/>
      <c r="L310" s="11"/>
      <c r="N310" s="11"/>
      <c r="O310" s="11"/>
      <c r="P310" s="11"/>
    </row>
    <row r="311" spans="2:16" ht="15.75">
      <c r="B311" s="11"/>
      <c r="C311" s="11"/>
      <c r="D311" s="11"/>
      <c r="E311" s="11"/>
      <c r="F311" s="11"/>
      <c r="G311" s="100"/>
      <c r="H311" s="101"/>
      <c r="I311" s="102"/>
      <c r="J311" s="101"/>
      <c r="K311" s="102"/>
      <c r="L311" s="11"/>
      <c r="N311" s="11"/>
      <c r="O311" s="11"/>
      <c r="P311" s="11"/>
    </row>
    <row r="312" spans="2:16" ht="15.75">
      <c r="B312" s="11"/>
      <c r="C312" s="11"/>
      <c r="D312" s="11"/>
      <c r="E312" s="11"/>
      <c r="F312" s="11"/>
      <c r="G312" s="100"/>
      <c r="H312" s="101"/>
      <c r="I312" s="102"/>
      <c r="J312" s="101"/>
      <c r="K312" s="102"/>
      <c r="L312" s="11"/>
      <c r="N312" s="11"/>
      <c r="O312" s="11"/>
      <c r="P312" s="11"/>
    </row>
    <row r="313" spans="2:16" ht="15.75">
      <c r="B313" s="11"/>
      <c r="C313" s="11"/>
      <c r="D313" s="11"/>
      <c r="E313" s="11"/>
      <c r="F313" s="11"/>
      <c r="G313" s="100"/>
      <c r="H313" s="101"/>
      <c r="I313" s="102"/>
      <c r="J313" s="101"/>
      <c r="K313" s="102"/>
      <c r="L313" s="11"/>
      <c r="N313" s="11"/>
      <c r="O313" s="11"/>
      <c r="P313" s="11"/>
    </row>
    <row r="314" spans="2:16" ht="15.75">
      <c r="B314" s="11"/>
      <c r="C314" s="11"/>
      <c r="D314" s="11"/>
      <c r="E314" s="11"/>
      <c r="F314" s="11"/>
      <c r="G314" s="100"/>
      <c r="H314" s="101"/>
      <c r="I314" s="102"/>
      <c r="J314" s="101"/>
      <c r="K314" s="102"/>
      <c r="L314" s="11"/>
      <c r="N314" s="11"/>
      <c r="O314" s="11"/>
      <c r="P314" s="11"/>
    </row>
    <row r="315" spans="2:16" ht="15.75">
      <c r="B315" s="11"/>
      <c r="C315" s="11"/>
      <c r="D315" s="11"/>
      <c r="E315" s="11"/>
      <c r="F315" s="11"/>
      <c r="G315" s="100"/>
      <c r="H315" s="101"/>
      <c r="I315" s="102"/>
      <c r="J315" s="101"/>
      <c r="K315" s="102"/>
      <c r="L315" s="11"/>
      <c r="N315" s="11"/>
      <c r="O315" s="11"/>
      <c r="P315" s="11"/>
    </row>
    <row r="316" spans="2:16" ht="15.75">
      <c r="B316" s="11"/>
      <c r="C316" s="11"/>
      <c r="D316" s="11"/>
      <c r="E316" s="11"/>
      <c r="F316" s="11"/>
      <c r="G316" s="100"/>
      <c r="H316" s="101"/>
      <c r="I316" s="102"/>
      <c r="J316" s="101"/>
      <c r="K316" s="102"/>
      <c r="L316" s="11"/>
      <c r="N316" s="11"/>
      <c r="O316" s="11"/>
      <c r="P316" s="11"/>
    </row>
    <row r="317" spans="2:16" ht="15.75">
      <c r="B317" s="11"/>
      <c r="C317" s="11"/>
      <c r="D317" s="11"/>
      <c r="E317" s="11"/>
      <c r="F317" s="11"/>
      <c r="G317" s="100"/>
      <c r="H317" s="101"/>
      <c r="I317" s="102"/>
      <c r="J317" s="101"/>
      <c r="K317" s="102"/>
      <c r="L317" s="11"/>
      <c r="N317" s="11"/>
      <c r="O317" s="11"/>
      <c r="P317" s="11"/>
    </row>
    <row r="318" spans="2:16" ht="15.75">
      <c r="B318" s="11"/>
      <c r="C318" s="11"/>
      <c r="D318" s="11"/>
      <c r="E318" s="11"/>
      <c r="F318" s="11"/>
      <c r="G318" s="100"/>
      <c r="H318" s="101"/>
      <c r="I318" s="102"/>
      <c r="J318" s="101"/>
      <c r="K318" s="102"/>
      <c r="L318" s="11"/>
      <c r="N318" s="11"/>
      <c r="O318" s="11"/>
      <c r="P318" s="11"/>
    </row>
    <row r="319" spans="2:16" ht="15.75">
      <c r="B319" s="11"/>
      <c r="C319" s="11"/>
      <c r="D319" s="11"/>
      <c r="E319" s="11"/>
      <c r="F319" s="11"/>
      <c r="G319" s="100"/>
      <c r="H319" s="101"/>
      <c r="I319" s="102"/>
      <c r="J319" s="101"/>
      <c r="K319" s="102"/>
      <c r="L319" s="11"/>
      <c r="N319" s="11"/>
      <c r="O319" s="11"/>
      <c r="P319" s="11"/>
    </row>
    <row r="320" spans="2:16" ht="15.75">
      <c r="B320" s="11"/>
      <c r="C320" s="11"/>
      <c r="D320" s="11"/>
      <c r="E320" s="11"/>
      <c r="F320" s="11"/>
      <c r="G320" s="100"/>
      <c r="H320" s="101"/>
      <c r="I320" s="102"/>
      <c r="J320" s="101"/>
      <c r="K320" s="102"/>
      <c r="L320" s="11"/>
      <c r="N320" s="11"/>
      <c r="O320" s="11"/>
      <c r="P320" s="11"/>
    </row>
    <row r="321" spans="2:16" ht="15.75">
      <c r="B321" s="11"/>
      <c r="C321" s="11"/>
      <c r="D321" s="11"/>
      <c r="E321" s="11"/>
      <c r="F321" s="11"/>
      <c r="G321" s="100"/>
      <c r="H321" s="101"/>
      <c r="I321" s="102"/>
      <c r="J321" s="101"/>
      <c r="K321" s="102"/>
      <c r="L321" s="11"/>
      <c r="N321" s="11"/>
      <c r="O321" s="11"/>
      <c r="P321" s="11"/>
    </row>
    <row r="322" spans="2:16" ht="15.75">
      <c r="B322" s="11"/>
      <c r="C322" s="11"/>
      <c r="D322" s="11"/>
      <c r="E322" s="11"/>
      <c r="F322" s="11"/>
      <c r="G322" s="100"/>
      <c r="H322" s="101"/>
      <c r="I322" s="102"/>
      <c r="J322" s="101"/>
      <c r="K322" s="102"/>
      <c r="L322" s="11"/>
      <c r="N322" s="11"/>
      <c r="O322" s="11"/>
      <c r="P322" s="11"/>
    </row>
    <row r="323" spans="2:16" ht="15.75">
      <c r="B323" s="11"/>
      <c r="C323" s="11"/>
      <c r="D323" s="11"/>
      <c r="E323" s="11"/>
      <c r="F323" s="11"/>
      <c r="G323" s="100"/>
      <c r="H323" s="101"/>
      <c r="I323" s="102"/>
      <c r="J323" s="101"/>
      <c r="K323" s="102"/>
      <c r="L323" s="11"/>
      <c r="N323" s="11"/>
      <c r="O323" s="11"/>
      <c r="P323" s="11"/>
    </row>
    <row r="324" spans="2:16" ht="15.75">
      <c r="B324" s="11"/>
      <c r="C324" s="11"/>
      <c r="D324" s="11"/>
      <c r="E324" s="11"/>
      <c r="F324" s="11"/>
      <c r="G324" s="100"/>
      <c r="H324" s="101"/>
      <c r="I324" s="102"/>
      <c r="J324" s="101"/>
      <c r="K324" s="102"/>
      <c r="L324" s="11"/>
      <c r="N324" s="11"/>
      <c r="O324" s="11"/>
      <c r="P324" s="11"/>
    </row>
    <row r="325" spans="2:16" ht="15.75">
      <c r="B325" s="11"/>
      <c r="C325" s="11"/>
      <c r="D325" s="11"/>
      <c r="E325" s="11"/>
      <c r="F325" s="11"/>
      <c r="G325" s="100"/>
      <c r="H325" s="101"/>
      <c r="I325" s="102"/>
      <c r="J325" s="101"/>
      <c r="K325" s="102"/>
      <c r="L325" s="11"/>
      <c r="N325" s="11"/>
      <c r="O325" s="11"/>
      <c r="P325" s="11"/>
    </row>
    <row r="326" spans="2:16" ht="15.75">
      <c r="B326" s="11"/>
      <c r="C326" s="11"/>
      <c r="D326" s="11"/>
      <c r="E326" s="11"/>
      <c r="F326" s="11"/>
      <c r="G326" s="100"/>
      <c r="H326" s="101"/>
      <c r="I326" s="102"/>
      <c r="J326" s="101"/>
      <c r="K326" s="102"/>
      <c r="L326" s="11"/>
      <c r="N326" s="11"/>
      <c r="O326" s="11"/>
      <c r="P326" s="11"/>
    </row>
    <row r="327" spans="2:16" ht="15.75">
      <c r="B327" s="11"/>
      <c r="C327" s="11"/>
      <c r="D327" s="11"/>
      <c r="E327" s="11"/>
      <c r="F327" s="11"/>
      <c r="G327" s="100"/>
      <c r="H327" s="101"/>
      <c r="I327" s="102"/>
      <c r="J327" s="101"/>
      <c r="K327" s="102"/>
      <c r="L327" s="11"/>
      <c r="N327" s="11"/>
      <c r="O327" s="11"/>
      <c r="P327" s="11"/>
    </row>
    <row r="328" spans="2:16" ht="15.75">
      <c r="B328" s="11"/>
      <c r="C328" s="11"/>
      <c r="D328" s="11"/>
      <c r="E328" s="11"/>
      <c r="F328" s="11"/>
      <c r="G328" s="100"/>
      <c r="H328" s="101"/>
      <c r="I328" s="102"/>
      <c r="J328" s="101"/>
      <c r="K328" s="102"/>
      <c r="L328" s="11"/>
      <c r="N328" s="11"/>
      <c r="O328" s="11"/>
      <c r="P328" s="11"/>
    </row>
    <row r="329" spans="2:16" ht="15.75">
      <c r="B329" s="11"/>
      <c r="C329" s="11"/>
      <c r="D329" s="11"/>
      <c r="E329" s="11"/>
      <c r="F329" s="11"/>
      <c r="G329" s="100"/>
      <c r="H329" s="101"/>
      <c r="I329" s="102"/>
      <c r="J329" s="101"/>
      <c r="K329" s="102"/>
      <c r="L329" s="11"/>
      <c r="N329" s="11"/>
      <c r="O329" s="11"/>
      <c r="P329" s="11"/>
    </row>
    <row r="330" spans="2:16" ht="15.75">
      <c r="B330" s="11"/>
      <c r="C330" s="11"/>
      <c r="D330" s="11"/>
      <c r="E330" s="11"/>
      <c r="F330" s="11"/>
      <c r="G330" s="100"/>
      <c r="H330" s="101"/>
      <c r="I330" s="102"/>
      <c r="J330" s="101"/>
      <c r="K330" s="102"/>
      <c r="L330" s="11"/>
      <c r="N330" s="11"/>
      <c r="O330" s="11"/>
      <c r="P330" s="11"/>
    </row>
    <row r="331" spans="2:16" ht="15.75">
      <c r="B331" s="11"/>
      <c r="C331" s="11"/>
      <c r="D331" s="11"/>
      <c r="E331" s="11"/>
      <c r="F331" s="11"/>
      <c r="G331" s="100"/>
      <c r="H331" s="101"/>
      <c r="I331" s="102"/>
      <c r="J331" s="101"/>
      <c r="K331" s="102"/>
      <c r="L331" s="11"/>
      <c r="N331" s="11"/>
      <c r="O331" s="11"/>
      <c r="P331" s="11"/>
    </row>
    <row r="332" spans="2:16" ht="15.75">
      <c r="B332" s="11"/>
      <c r="C332" s="11"/>
      <c r="D332" s="11"/>
      <c r="E332" s="11"/>
      <c r="F332" s="11"/>
      <c r="G332" s="100"/>
      <c r="H332" s="101"/>
      <c r="I332" s="102"/>
      <c r="J332" s="101"/>
      <c r="K332" s="102"/>
      <c r="L332" s="11"/>
      <c r="N332" s="11"/>
      <c r="O332" s="11"/>
      <c r="P332" s="11"/>
    </row>
    <row r="333" spans="2:16" ht="15.75">
      <c r="B333" s="11"/>
      <c r="C333" s="11"/>
      <c r="D333" s="11"/>
      <c r="E333" s="11"/>
      <c r="F333" s="11"/>
      <c r="G333" s="100"/>
      <c r="H333" s="101"/>
      <c r="I333" s="102"/>
      <c r="J333" s="101"/>
      <c r="K333" s="102"/>
      <c r="L333" s="11"/>
      <c r="N333" s="11"/>
      <c r="O333" s="11"/>
      <c r="P333" s="11"/>
    </row>
    <row r="334" spans="2:16" ht="15.75">
      <c r="B334" s="11"/>
      <c r="C334" s="11"/>
      <c r="D334" s="11"/>
      <c r="E334" s="11"/>
      <c r="F334" s="11"/>
      <c r="G334" s="100"/>
      <c r="H334" s="101"/>
      <c r="I334" s="102"/>
      <c r="J334" s="101"/>
      <c r="K334" s="102"/>
      <c r="L334" s="11"/>
      <c r="N334" s="11"/>
      <c r="O334" s="11"/>
      <c r="P334" s="11"/>
    </row>
    <row r="335" spans="2:16" ht="15.75">
      <c r="B335" s="11"/>
      <c r="C335" s="11"/>
      <c r="D335" s="11"/>
      <c r="E335" s="11"/>
      <c r="F335" s="11"/>
      <c r="G335" s="100"/>
      <c r="H335" s="101"/>
      <c r="I335" s="102"/>
      <c r="J335" s="101"/>
      <c r="K335" s="102"/>
      <c r="L335" s="11"/>
      <c r="N335" s="11"/>
      <c r="O335" s="11"/>
      <c r="P335" s="11"/>
    </row>
    <row r="336" spans="2:16" ht="15.75">
      <c r="B336" s="11"/>
      <c r="C336" s="11"/>
      <c r="D336" s="11"/>
      <c r="E336" s="11"/>
      <c r="F336" s="11"/>
      <c r="G336" s="100"/>
      <c r="H336" s="101"/>
      <c r="I336" s="102"/>
      <c r="J336" s="101"/>
      <c r="K336" s="102"/>
      <c r="L336" s="11"/>
      <c r="N336" s="11"/>
      <c r="O336" s="11"/>
      <c r="P336" s="11"/>
    </row>
    <row r="337" spans="2:16" ht="15.75">
      <c r="B337" s="11"/>
      <c r="C337" s="11"/>
      <c r="D337" s="11"/>
      <c r="E337" s="11"/>
      <c r="F337" s="11"/>
      <c r="G337" s="100"/>
      <c r="H337" s="101"/>
      <c r="I337" s="102"/>
      <c r="J337" s="101"/>
      <c r="K337" s="102"/>
      <c r="L337" s="11"/>
      <c r="N337" s="11"/>
      <c r="O337" s="11"/>
      <c r="P337" s="11"/>
    </row>
    <row r="338" spans="2:16" ht="15.75">
      <c r="B338" s="11"/>
      <c r="C338" s="11"/>
      <c r="D338" s="11"/>
      <c r="E338" s="11"/>
      <c r="F338" s="11"/>
      <c r="G338" s="100"/>
      <c r="H338" s="101"/>
      <c r="I338" s="102"/>
      <c r="J338" s="101"/>
      <c r="K338" s="102"/>
      <c r="L338" s="11"/>
      <c r="N338" s="11"/>
      <c r="O338" s="11"/>
      <c r="P338" s="11"/>
    </row>
    <row r="339" spans="2:16" ht="15.75">
      <c r="B339" s="11"/>
      <c r="C339" s="11"/>
      <c r="D339" s="11"/>
      <c r="E339" s="11"/>
      <c r="F339" s="11"/>
      <c r="G339" s="100"/>
      <c r="H339" s="101"/>
      <c r="I339" s="102"/>
      <c r="J339" s="101"/>
      <c r="K339" s="102"/>
      <c r="L339" s="11"/>
      <c r="N339" s="11"/>
      <c r="O339" s="11"/>
      <c r="P339" s="11"/>
    </row>
    <row r="340" spans="2:16" ht="15.75">
      <c r="B340" s="11"/>
      <c r="C340" s="11"/>
      <c r="D340" s="11"/>
      <c r="E340" s="11"/>
      <c r="F340" s="11"/>
      <c r="G340" s="100"/>
      <c r="H340" s="101"/>
      <c r="I340" s="102"/>
      <c r="J340" s="101"/>
      <c r="K340" s="102"/>
      <c r="L340" s="11"/>
      <c r="N340" s="11"/>
      <c r="O340" s="11"/>
      <c r="P340" s="11"/>
    </row>
    <row r="341" spans="2:16" ht="15.75">
      <c r="B341" s="11"/>
      <c r="C341" s="11"/>
      <c r="D341" s="11"/>
      <c r="E341" s="11"/>
      <c r="F341" s="11"/>
      <c r="G341" s="100"/>
      <c r="H341" s="101"/>
      <c r="I341" s="102"/>
      <c r="J341" s="101"/>
      <c r="K341" s="102"/>
      <c r="L341" s="11"/>
      <c r="N341" s="11"/>
      <c r="O341" s="11"/>
      <c r="P341" s="11"/>
    </row>
    <row r="342" spans="2:16" ht="15.75">
      <c r="B342" s="11"/>
      <c r="C342" s="11"/>
      <c r="D342" s="11"/>
      <c r="E342" s="11"/>
      <c r="F342" s="11"/>
      <c r="G342" s="100"/>
      <c r="H342" s="101"/>
      <c r="I342" s="102"/>
      <c r="J342" s="101"/>
      <c r="K342" s="102"/>
      <c r="L342" s="11"/>
      <c r="N342" s="11"/>
      <c r="O342" s="11"/>
      <c r="P342" s="11"/>
    </row>
    <row r="343" spans="2:16" ht="15.75">
      <c r="B343" s="11"/>
      <c r="C343" s="11"/>
      <c r="D343" s="11"/>
      <c r="E343" s="11"/>
      <c r="F343" s="11"/>
      <c r="G343" s="100"/>
      <c r="H343" s="101"/>
      <c r="I343" s="102"/>
      <c r="J343" s="101"/>
      <c r="K343" s="102"/>
      <c r="L343" s="11"/>
      <c r="N343" s="11"/>
      <c r="O343" s="11"/>
      <c r="P343" s="11"/>
    </row>
    <row r="344" spans="2:16" ht="15.75">
      <c r="B344" s="11"/>
      <c r="C344" s="11"/>
      <c r="D344" s="11"/>
      <c r="E344" s="11"/>
      <c r="F344" s="11"/>
      <c r="G344" s="100"/>
      <c r="H344" s="101"/>
      <c r="I344" s="102"/>
      <c r="J344" s="101"/>
      <c r="K344" s="102"/>
      <c r="L344" s="11"/>
      <c r="N344" s="11"/>
      <c r="O344" s="11"/>
      <c r="P344" s="11"/>
    </row>
    <row r="345" spans="2:16" ht="15.75">
      <c r="B345" s="11"/>
      <c r="C345" s="11"/>
      <c r="D345" s="11"/>
      <c r="E345" s="11"/>
      <c r="F345" s="11"/>
      <c r="G345" s="100"/>
      <c r="H345" s="101"/>
      <c r="I345" s="102"/>
      <c r="J345" s="101"/>
      <c r="K345" s="102"/>
      <c r="L345" s="11"/>
      <c r="N345" s="11"/>
      <c r="O345" s="11"/>
      <c r="P345" s="11"/>
    </row>
    <row r="346" spans="2:16" ht="15.75">
      <c r="B346" s="11"/>
      <c r="C346" s="11"/>
      <c r="D346" s="11"/>
      <c r="E346" s="11"/>
      <c r="F346" s="11"/>
      <c r="G346" s="100"/>
      <c r="H346" s="101"/>
      <c r="I346" s="102"/>
      <c r="J346" s="101"/>
      <c r="K346" s="102"/>
      <c r="L346" s="11"/>
      <c r="N346" s="11"/>
      <c r="O346" s="11"/>
      <c r="P346" s="11"/>
    </row>
    <row r="347" spans="2:16" ht="15.75">
      <c r="B347" s="11"/>
      <c r="C347" s="11"/>
      <c r="D347" s="11"/>
      <c r="E347" s="11"/>
      <c r="F347" s="11"/>
      <c r="G347" s="100"/>
      <c r="H347" s="101"/>
      <c r="I347" s="102"/>
      <c r="J347" s="101"/>
      <c r="K347" s="102"/>
      <c r="L347" s="11"/>
      <c r="N347" s="11"/>
      <c r="O347" s="11"/>
      <c r="P347" s="11"/>
    </row>
    <row r="348" spans="2:16" ht="15.75">
      <c r="B348" s="11"/>
      <c r="C348" s="11"/>
      <c r="D348" s="11"/>
      <c r="E348" s="11"/>
      <c r="F348" s="11"/>
      <c r="G348" s="100"/>
      <c r="H348" s="101"/>
      <c r="I348" s="102"/>
      <c r="J348" s="101"/>
      <c r="K348" s="102"/>
      <c r="L348" s="11"/>
      <c r="N348" s="11"/>
      <c r="O348" s="11"/>
      <c r="P348" s="11"/>
    </row>
    <row r="349" spans="2:16" ht="15.75">
      <c r="B349" s="11"/>
      <c r="C349" s="11"/>
      <c r="D349" s="11"/>
      <c r="E349" s="11"/>
      <c r="F349" s="11"/>
      <c r="G349" s="100"/>
      <c r="H349" s="101"/>
      <c r="I349" s="102"/>
      <c r="J349" s="101"/>
      <c r="K349" s="102"/>
      <c r="L349" s="11"/>
      <c r="N349" s="11"/>
      <c r="O349" s="11"/>
      <c r="P349" s="11"/>
    </row>
    <row r="350" spans="2:16" ht="15.75">
      <c r="B350" s="11"/>
      <c r="C350" s="11"/>
      <c r="D350" s="11"/>
      <c r="E350" s="11"/>
      <c r="F350" s="11"/>
      <c r="G350" s="100"/>
      <c r="H350" s="101"/>
      <c r="I350" s="102"/>
      <c r="J350" s="101"/>
      <c r="K350" s="102"/>
      <c r="L350" s="11"/>
      <c r="N350" s="11"/>
      <c r="O350" s="11"/>
      <c r="P350" s="11"/>
    </row>
    <row r="351" spans="2:16" ht="15.75">
      <c r="B351" s="11"/>
      <c r="C351" s="11"/>
      <c r="D351" s="11"/>
      <c r="E351" s="11"/>
      <c r="F351" s="11"/>
      <c r="G351" s="100"/>
      <c r="H351" s="101"/>
      <c r="I351" s="102"/>
      <c r="J351" s="101"/>
      <c r="K351" s="102"/>
      <c r="L351" s="11"/>
      <c r="N351" s="11"/>
      <c r="O351" s="11"/>
      <c r="P351" s="11"/>
    </row>
    <row r="352" spans="2:16" ht="15.75">
      <c r="B352" s="11"/>
      <c r="C352" s="11"/>
      <c r="D352" s="11"/>
      <c r="E352" s="11"/>
      <c r="F352" s="11"/>
      <c r="G352" s="100"/>
      <c r="H352" s="101"/>
      <c r="I352" s="102"/>
      <c r="J352" s="101"/>
      <c r="K352" s="102"/>
      <c r="L352" s="11"/>
      <c r="N352" s="11"/>
      <c r="O352" s="11"/>
      <c r="P352" s="11"/>
    </row>
    <row r="353" spans="2:16" ht="15.75">
      <c r="B353" s="11"/>
      <c r="C353" s="11"/>
      <c r="D353" s="11"/>
      <c r="E353" s="11"/>
      <c r="F353" s="11"/>
      <c r="G353" s="100"/>
      <c r="H353" s="101"/>
      <c r="I353" s="102"/>
      <c r="J353" s="101"/>
      <c r="K353" s="102"/>
      <c r="L353" s="11"/>
      <c r="N353" s="11"/>
      <c r="O353" s="11"/>
      <c r="P353" s="11"/>
    </row>
    <row r="354" spans="2:16" ht="15.75">
      <c r="B354" s="11"/>
      <c r="C354" s="11"/>
      <c r="D354" s="11"/>
      <c r="E354" s="11"/>
      <c r="F354" s="11"/>
      <c r="G354" s="100"/>
      <c r="H354" s="101"/>
      <c r="I354" s="102"/>
      <c r="J354" s="101"/>
      <c r="K354" s="102"/>
      <c r="L354" s="11"/>
      <c r="N354" s="11"/>
      <c r="O354" s="11"/>
      <c r="P354" s="11"/>
    </row>
    <row r="355" spans="2:16" ht="15.75">
      <c r="B355" s="11"/>
      <c r="C355" s="11"/>
      <c r="D355" s="11"/>
      <c r="E355" s="11"/>
      <c r="F355" s="11"/>
      <c r="G355" s="100"/>
      <c r="H355" s="101"/>
      <c r="I355" s="102"/>
      <c r="J355" s="101"/>
      <c r="K355" s="102"/>
      <c r="L355" s="11"/>
      <c r="N355" s="11"/>
      <c r="O355" s="11"/>
      <c r="P355" s="11"/>
    </row>
    <row r="356" spans="2:16" ht="15.75">
      <c r="B356" s="11"/>
      <c r="C356" s="11"/>
      <c r="D356" s="11"/>
      <c r="E356" s="11"/>
      <c r="F356" s="11"/>
      <c r="G356" s="100"/>
      <c r="H356" s="101"/>
      <c r="I356" s="102"/>
      <c r="J356" s="101"/>
      <c r="K356" s="102"/>
      <c r="L356" s="11"/>
      <c r="N356" s="11"/>
      <c r="O356" s="11"/>
      <c r="P356" s="11"/>
    </row>
    <row r="357" spans="2:16" ht="15.75">
      <c r="B357" s="11"/>
      <c r="C357" s="11"/>
      <c r="D357" s="11"/>
      <c r="E357" s="11"/>
      <c r="F357" s="11"/>
      <c r="G357" s="100"/>
      <c r="H357" s="101"/>
      <c r="I357" s="102"/>
      <c r="J357" s="101"/>
      <c r="K357" s="102"/>
      <c r="L357" s="11"/>
      <c r="N357" s="11"/>
      <c r="O357" s="11"/>
      <c r="P357" s="11"/>
    </row>
    <row r="358" spans="2:16" ht="15.75">
      <c r="B358" s="11"/>
      <c r="C358" s="11"/>
      <c r="D358" s="11"/>
      <c r="E358" s="11"/>
      <c r="F358" s="11"/>
      <c r="G358" s="100"/>
      <c r="H358" s="101"/>
      <c r="I358" s="102"/>
      <c r="J358" s="101"/>
      <c r="K358" s="102"/>
      <c r="L358" s="11"/>
      <c r="N358" s="11"/>
      <c r="O358" s="11"/>
      <c r="P358" s="11"/>
    </row>
    <row r="359" spans="7:11" ht="15.75">
      <c r="G359" s="8"/>
      <c r="H359" s="9"/>
      <c r="I359" s="10"/>
      <c r="J359" s="9"/>
      <c r="K359" s="10"/>
    </row>
    <row r="360" spans="7:11" ht="15.75">
      <c r="G360" s="8"/>
      <c r="H360" s="9"/>
      <c r="I360" s="10"/>
      <c r="J360" s="9"/>
      <c r="K360" s="10"/>
    </row>
    <row r="361" spans="7:11" ht="15.75">
      <c r="G361" s="8"/>
      <c r="H361" s="9"/>
      <c r="I361" s="10"/>
      <c r="J361" s="9"/>
      <c r="K361" s="10"/>
    </row>
    <row r="362" spans="7:11" ht="15.75">
      <c r="G362" s="8"/>
      <c r="H362" s="9"/>
      <c r="I362" s="10"/>
      <c r="J362" s="9"/>
      <c r="K362" s="10"/>
    </row>
    <row r="363" spans="7:11" ht="15.75">
      <c r="G363" s="8"/>
      <c r="H363" s="9"/>
      <c r="I363" s="10"/>
      <c r="J363" s="9"/>
      <c r="K363" s="10"/>
    </row>
    <row r="364" spans="7:11" ht="15.75">
      <c r="G364" s="8"/>
      <c r="H364" s="9"/>
      <c r="I364" s="10"/>
      <c r="J364" s="9"/>
      <c r="K364" s="10"/>
    </row>
    <row r="365" spans="7:11" ht="15.75">
      <c r="G365" s="8"/>
      <c r="H365" s="9"/>
      <c r="I365" s="10"/>
      <c r="J365" s="9"/>
      <c r="K365" s="10"/>
    </row>
    <row r="366" spans="7:11" ht="15.75">
      <c r="G366" s="8"/>
      <c r="H366" s="9"/>
      <c r="I366" s="10"/>
      <c r="J366" s="9"/>
      <c r="K366" s="10"/>
    </row>
    <row r="367" spans="7:11" ht="15.75">
      <c r="G367" s="8"/>
      <c r="H367" s="9"/>
      <c r="I367" s="10"/>
      <c r="J367" s="9"/>
      <c r="K367" s="10"/>
    </row>
    <row r="368" spans="7:11" ht="15.75">
      <c r="G368" s="8"/>
      <c r="H368" s="9"/>
      <c r="I368" s="10"/>
      <c r="J368" s="9"/>
      <c r="K368" s="10"/>
    </row>
    <row r="369" spans="7:11" ht="15.75">
      <c r="G369" s="8"/>
      <c r="H369" s="9"/>
      <c r="I369" s="10"/>
      <c r="J369" s="9"/>
      <c r="K369" s="10"/>
    </row>
    <row r="370" spans="7:11" ht="15.75">
      <c r="G370" s="8"/>
      <c r="H370" s="9"/>
      <c r="I370" s="10"/>
      <c r="J370" s="9"/>
      <c r="K370" s="10"/>
    </row>
    <row r="371" spans="7:11" ht="15.75">
      <c r="G371" s="8"/>
      <c r="H371" s="9"/>
      <c r="I371" s="10"/>
      <c r="J371" s="9"/>
      <c r="K371" s="10"/>
    </row>
    <row r="372" spans="7:11" ht="15.75">
      <c r="G372" s="8"/>
      <c r="H372" s="9"/>
      <c r="I372" s="10"/>
      <c r="J372" s="9"/>
      <c r="K372" s="10"/>
    </row>
    <row r="373" spans="7:11" ht="15.75">
      <c r="G373" s="8"/>
      <c r="H373" s="9"/>
      <c r="I373" s="10"/>
      <c r="J373" s="9"/>
      <c r="K373" s="10"/>
    </row>
    <row r="374" spans="7:11" ht="15.75">
      <c r="G374" s="8"/>
      <c r="H374" s="9"/>
      <c r="I374" s="10"/>
      <c r="J374" s="9"/>
      <c r="K374" s="10"/>
    </row>
  </sheetData>
  <sheetProtection selectLockedCells="1" selectUnlockedCells="1"/>
  <mergeCells count="20">
    <mergeCell ref="T12:T13"/>
    <mergeCell ref="U12:U13"/>
    <mergeCell ref="E5:M6"/>
    <mergeCell ref="E3:M4"/>
    <mergeCell ref="H12:H13"/>
    <mergeCell ref="I12:I13"/>
    <mergeCell ref="J12:J13"/>
    <mergeCell ref="K12:K13"/>
    <mergeCell ref="L12:L13"/>
    <mergeCell ref="M12:M13"/>
    <mergeCell ref="AC12:AC13"/>
    <mergeCell ref="AD12:AD13"/>
    <mergeCell ref="G12:G13"/>
    <mergeCell ref="B9:M10"/>
    <mergeCell ref="A12:A13"/>
    <mergeCell ref="B12:B13"/>
    <mergeCell ref="C12:C13"/>
    <mergeCell ref="D12:D13"/>
    <mergeCell ref="E12:E13"/>
    <mergeCell ref="F12:F13"/>
  </mergeCells>
  <printOptions/>
  <pageMargins left="0.5118110236220472" right="0.5118110236220472" top="0.5511811023622047" bottom="0.5511811023622047" header="0.5118110236220472" footer="0.5118110236220472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HP</cp:lastModifiedBy>
  <cp:lastPrinted>2022-12-27T05:36:51Z</cp:lastPrinted>
  <dcterms:created xsi:type="dcterms:W3CDTF">2022-11-15T15:07:16Z</dcterms:created>
  <dcterms:modified xsi:type="dcterms:W3CDTF">2022-12-29T06:59:10Z</dcterms:modified>
  <cp:category/>
  <cp:version/>
  <cp:contentType/>
  <cp:contentStatus/>
</cp:coreProperties>
</file>